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C:\Users\e67878\Desktop\"/>
    </mc:Choice>
  </mc:AlternateContent>
  <xr:revisionPtr revIDLastSave="0" documentId="10_ncr:100000_{17131013-076E-4C36-9903-5D1B0F355422}" xr6:coauthVersionLast="31" xr6:coauthVersionMax="31" xr10:uidLastSave="{00000000-0000-0000-0000-000000000000}"/>
  <bookViews>
    <workbookView xWindow="0" yWindow="0" windowWidth="16380" windowHeight="8190" tabRatio="622" activeTab="1" xr2:uid="{00000000-000D-0000-FFFF-FFFF00000000}"/>
  </bookViews>
  <sheets>
    <sheet name="Relics" sheetId="3" r:id="rId1"/>
    <sheet name="Template Scoresheet" sheetId="7" r:id="rId2"/>
    <sheet name="Songs" sheetId="6" r:id="rId3"/>
    <sheet name="Chart Credit" sheetId="9" r:id="rId4"/>
  </sheets>
  <definedNames>
    <definedName name="_xlnm._FilterDatabase" localSheetId="2" hidden="1">Songs!$A$1:$AG$91</definedName>
  </definedNames>
  <calcPr calcId="179017"/>
</workbook>
</file>

<file path=xl/calcChain.xml><?xml version="1.0" encoding="utf-8"?>
<calcChain xmlns="http://schemas.openxmlformats.org/spreadsheetml/2006/main">
  <c r="Y20" i="7" l="1"/>
  <c r="Y19" i="7"/>
  <c r="Y18" i="7"/>
  <c r="Y17" i="7"/>
  <c r="Y16" i="7"/>
  <c r="Y15" i="7"/>
  <c r="Y14" i="7"/>
  <c r="Y13" i="7"/>
  <c r="Y12" i="7"/>
  <c r="Y11" i="7"/>
  <c r="Y10" i="7"/>
  <c r="Y9" i="7"/>
  <c r="Y8" i="7"/>
  <c r="Y7" i="7"/>
  <c r="Y5" i="7"/>
  <c r="Y4" i="7"/>
  <c r="Y3" i="7"/>
  <c r="BC20" i="7"/>
  <c r="BB20" i="7"/>
  <c r="AW20" i="7"/>
  <c r="AR20" i="7"/>
  <c r="AN20" i="7"/>
  <c r="AL20" i="7"/>
  <c r="AI20" i="7"/>
  <c r="AE20" i="7"/>
  <c r="AX20" i="7" s="1"/>
  <c r="X20" i="7"/>
  <c r="W20" i="7"/>
  <c r="AO20" i="7" s="1"/>
  <c r="V20" i="7"/>
  <c r="U20" i="7"/>
  <c r="T20" i="7"/>
  <c r="S20" i="7"/>
  <c r="R20" i="7"/>
  <c r="Q20" i="7"/>
  <c r="P20" i="7"/>
  <c r="O20" i="7"/>
  <c r="N20" i="7"/>
  <c r="BC19" i="7"/>
  <c r="BB19" i="7"/>
  <c r="AW19" i="7"/>
  <c r="AR19" i="7"/>
  <c r="AN19" i="7"/>
  <c r="AL19" i="7"/>
  <c r="AI19" i="7"/>
  <c r="AE19" i="7"/>
  <c r="AX19" i="7" s="1"/>
  <c r="X19" i="7"/>
  <c r="W19" i="7"/>
  <c r="AO19" i="7" s="1"/>
  <c r="V19" i="7"/>
  <c r="U19" i="7"/>
  <c r="T19" i="7"/>
  <c r="S19" i="7"/>
  <c r="R19" i="7"/>
  <c r="Q19" i="7"/>
  <c r="AK19" i="7" s="1"/>
  <c r="P19" i="7"/>
  <c r="O19" i="7"/>
  <c r="N19" i="7"/>
  <c r="BC18" i="7"/>
  <c r="BB18" i="7"/>
  <c r="AW18" i="7"/>
  <c r="AR18" i="7"/>
  <c r="AN18" i="7"/>
  <c r="AL18" i="7"/>
  <c r="AI18" i="7"/>
  <c r="AE18" i="7"/>
  <c r="AX18" i="7" s="1"/>
  <c r="X18" i="7"/>
  <c r="W18" i="7"/>
  <c r="AO18" i="7" s="1"/>
  <c r="V18" i="7"/>
  <c r="U18" i="7"/>
  <c r="T18" i="7"/>
  <c r="S18" i="7"/>
  <c r="R18" i="7"/>
  <c r="Q18" i="7"/>
  <c r="P18" i="7"/>
  <c r="O18" i="7"/>
  <c r="N18" i="7"/>
  <c r="BC17" i="7"/>
  <c r="BB17" i="7"/>
  <c r="AW17" i="7"/>
  <c r="AR17" i="7"/>
  <c r="AN17" i="7"/>
  <c r="AL17" i="7"/>
  <c r="AI17" i="7"/>
  <c r="AE17" i="7"/>
  <c r="AX17" i="7" s="1"/>
  <c r="X17" i="7"/>
  <c r="W17" i="7"/>
  <c r="AO17" i="7" s="1"/>
  <c r="V17" i="7"/>
  <c r="U17" i="7"/>
  <c r="T17" i="7"/>
  <c r="S17" i="7"/>
  <c r="R17" i="7"/>
  <c r="Q17" i="7"/>
  <c r="P17" i="7"/>
  <c r="O17" i="7"/>
  <c r="N17" i="7"/>
  <c r="BC16" i="7"/>
  <c r="BB16" i="7"/>
  <c r="AW16" i="7"/>
  <c r="AR16" i="7"/>
  <c r="AN16" i="7"/>
  <c r="AL16" i="7"/>
  <c r="AI16" i="7"/>
  <c r="AE16" i="7"/>
  <c r="AX16" i="7" s="1"/>
  <c r="X16" i="7"/>
  <c r="W16" i="7"/>
  <c r="AO16" i="7" s="1"/>
  <c r="V16" i="7"/>
  <c r="U16" i="7"/>
  <c r="T16" i="7"/>
  <c r="S16" i="7"/>
  <c r="R16" i="7"/>
  <c r="Q16" i="7"/>
  <c r="P16" i="7"/>
  <c r="O16" i="7"/>
  <c r="N16" i="7"/>
  <c r="BC15" i="7"/>
  <c r="BB15" i="7"/>
  <c r="AW15" i="7"/>
  <c r="AR15" i="7"/>
  <c r="AN15" i="7"/>
  <c r="AL15" i="7"/>
  <c r="AI15" i="7"/>
  <c r="AE15" i="7"/>
  <c r="AX15" i="7" s="1"/>
  <c r="X15" i="7"/>
  <c r="W15" i="7"/>
  <c r="AO15" i="7" s="1"/>
  <c r="V15" i="7"/>
  <c r="U15" i="7"/>
  <c r="T15" i="7"/>
  <c r="S15" i="7"/>
  <c r="R15" i="7"/>
  <c r="Q15" i="7"/>
  <c r="P15" i="7"/>
  <c r="O15" i="7"/>
  <c r="N15" i="7"/>
  <c r="BC14" i="7"/>
  <c r="BB14" i="7"/>
  <c r="AW14" i="7"/>
  <c r="AR14" i="7"/>
  <c r="AN14" i="7"/>
  <c r="AL14" i="7"/>
  <c r="AI14" i="7"/>
  <c r="AE14" i="7"/>
  <c r="AX14" i="7" s="1"/>
  <c r="X14" i="7"/>
  <c r="W14" i="7"/>
  <c r="AO14" i="7" s="1"/>
  <c r="V14" i="7"/>
  <c r="U14" i="7"/>
  <c r="T14" i="7"/>
  <c r="S14" i="7"/>
  <c r="R14" i="7"/>
  <c r="Q14" i="7"/>
  <c r="AZ14" i="7" s="1"/>
  <c r="P14" i="7"/>
  <c r="O14" i="7"/>
  <c r="N14" i="7"/>
  <c r="BC13" i="7"/>
  <c r="BB13" i="7"/>
  <c r="AW13" i="7"/>
  <c r="AR13" i="7"/>
  <c r="AN13" i="7"/>
  <c r="AL13" i="7"/>
  <c r="AI13" i="7"/>
  <c r="AE13" i="7"/>
  <c r="AX13" i="7" s="1"/>
  <c r="X13" i="7"/>
  <c r="W13" i="7"/>
  <c r="AO13" i="7" s="1"/>
  <c r="V13" i="7"/>
  <c r="U13" i="7"/>
  <c r="T13" i="7"/>
  <c r="S13" i="7"/>
  <c r="R13" i="7"/>
  <c r="Q13" i="7"/>
  <c r="P13" i="7"/>
  <c r="O13" i="7"/>
  <c r="N13" i="7"/>
  <c r="BC12" i="7"/>
  <c r="BB12" i="7"/>
  <c r="AW12" i="7"/>
  <c r="AR12" i="7"/>
  <c r="AN12" i="7"/>
  <c r="AL12" i="7"/>
  <c r="AI12" i="7"/>
  <c r="AE12" i="7"/>
  <c r="AX12" i="7" s="1"/>
  <c r="X12" i="7"/>
  <c r="W12" i="7"/>
  <c r="AO12" i="7" s="1"/>
  <c r="V12" i="7"/>
  <c r="U12" i="7"/>
  <c r="T12" i="7"/>
  <c r="S12" i="7"/>
  <c r="R12" i="7"/>
  <c r="Q12" i="7"/>
  <c r="P12" i="7"/>
  <c r="O12" i="7"/>
  <c r="N12" i="7"/>
  <c r="BC11" i="7"/>
  <c r="BB11" i="7"/>
  <c r="AW11" i="7"/>
  <c r="AR11" i="7"/>
  <c r="AN11" i="7"/>
  <c r="AL11" i="7"/>
  <c r="AI11" i="7"/>
  <c r="AE11" i="7"/>
  <c r="X11" i="7"/>
  <c r="W11" i="7"/>
  <c r="AO11" i="7" s="1"/>
  <c r="V11" i="7"/>
  <c r="U11" i="7"/>
  <c r="T11" i="7"/>
  <c r="S11" i="7"/>
  <c r="R11" i="7"/>
  <c r="Q11" i="7"/>
  <c r="P11" i="7"/>
  <c r="O11" i="7"/>
  <c r="N11" i="7"/>
  <c r="BC10" i="7"/>
  <c r="BB10" i="7"/>
  <c r="AW10" i="7"/>
  <c r="AR10" i="7"/>
  <c r="AN10" i="7"/>
  <c r="AL10" i="7"/>
  <c r="AI10" i="7"/>
  <c r="AE10" i="7"/>
  <c r="AX10" i="7" s="1"/>
  <c r="X10" i="7"/>
  <c r="W10" i="7"/>
  <c r="AO10" i="7" s="1"/>
  <c r="V10" i="7"/>
  <c r="U10" i="7"/>
  <c r="T10" i="7"/>
  <c r="S10" i="7"/>
  <c r="R10" i="7"/>
  <c r="Q10" i="7"/>
  <c r="P10" i="7"/>
  <c r="O10" i="7"/>
  <c r="N10" i="7"/>
  <c r="BC9" i="7"/>
  <c r="BB9" i="7"/>
  <c r="AW9" i="7"/>
  <c r="AR9" i="7"/>
  <c r="AN9" i="7"/>
  <c r="AL9" i="7"/>
  <c r="AI9" i="7"/>
  <c r="AE9" i="7"/>
  <c r="AX9" i="7" s="1"/>
  <c r="X9" i="7"/>
  <c r="W9" i="7"/>
  <c r="AO9" i="7" s="1"/>
  <c r="V9" i="7"/>
  <c r="U9" i="7"/>
  <c r="T9" i="7"/>
  <c r="S9" i="7"/>
  <c r="R9" i="7"/>
  <c r="Q9" i="7"/>
  <c r="P9" i="7"/>
  <c r="O9" i="7"/>
  <c r="N9" i="7"/>
  <c r="BC8" i="7"/>
  <c r="BB8" i="7"/>
  <c r="AW8" i="7"/>
  <c r="AR8" i="7"/>
  <c r="AN8" i="7"/>
  <c r="AL8" i="7"/>
  <c r="AI8" i="7"/>
  <c r="AE8" i="7"/>
  <c r="AX8" i="7" s="1"/>
  <c r="X8" i="7"/>
  <c r="W8" i="7"/>
  <c r="AO8" i="7" s="1"/>
  <c r="V8" i="7"/>
  <c r="U8" i="7"/>
  <c r="T8" i="7"/>
  <c r="S8" i="7"/>
  <c r="R8" i="7"/>
  <c r="Q8" i="7"/>
  <c r="P8" i="7"/>
  <c r="O8" i="7"/>
  <c r="N8" i="7"/>
  <c r="BC7" i="7"/>
  <c r="BB7" i="7"/>
  <c r="AW7" i="7"/>
  <c r="AR7" i="7"/>
  <c r="AN7" i="7"/>
  <c r="AL7" i="7"/>
  <c r="AI7" i="7"/>
  <c r="AE7" i="7"/>
  <c r="X7" i="7"/>
  <c r="W7" i="7"/>
  <c r="AO7" i="7" s="1"/>
  <c r="V7" i="7"/>
  <c r="U7" i="7"/>
  <c r="T7" i="7"/>
  <c r="S7" i="7"/>
  <c r="R7" i="7"/>
  <c r="Q7" i="7"/>
  <c r="P7" i="7"/>
  <c r="O7" i="7"/>
  <c r="N7" i="7"/>
  <c r="BC6" i="7"/>
  <c r="BB6" i="7"/>
  <c r="AW6" i="7"/>
  <c r="AR6" i="7"/>
  <c r="AN6" i="7"/>
  <c r="AL6" i="7"/>
  <c r="AI6" i="7"/>
  <c r="AE6" i="7"/>
  <c r="AX6" i="7" s="1"/>
  <c r="X6" i="7"/>
  <c r="W6" i="7"/>
  <c r="AO6" i="7" s="1"/>
  <c r="V6" i="7"/>
  <c r="U6" i="7"/>
  <c r="T6" i="7"/>
  <c r="S6" i="7"/>
  <c r="R6" i="7"/>
  <c r="Q6" i="7"/>
  <c r="P6" i="7"/>
  <c r="O6" i="7"/>
  <c r="N6" i="7"/>
  <c r="BC5" i="7"/>
  <c r="BB5" i="7"/>
  <c r="AW5" i="7"/>
  <c r="AR5" i="7"/>
  <c r="AN5" i="7"/>
  <c r="AL5" i="7"/>
  <c r="AI5" i="7"/>
  <c r="AE5" i="7"/>
  <c r="X5" i="7"/>
  <c r="W5" i="7"/>
  <c r="AO5" i="7" s="1"/>
  <c r="V5" i="7"/>
  <c r="U5" i="7"/>
  <c r="T5" i="7"/>
  <c r="S5" i="7"/>
  <c r="R5" i="7"/>
  <c r="Q5" i="7"/>
  <c r="P5" i="7"/>
  <c r="O5" i="7"/>
  <c r="N5" i="7"/>
  <c r="BC4" i="7"/>
  <c r="BB4" i="7"/>
  <c r="AW4" i="7"/>
  <c r="AR4" i="7"/>
  <c r="AN4" i="7"/>
  <c r="AL4" i="7"/>
  <c r="AI4" i="7"/>
  <c r="AE4" i="7"/>
  <c r="X4" i="7"/>
  <c r="W4" i="7"/>
  <c r="V4" i="7"/>
  <c r="U4" i="7"/>
  <c r="T4" i="7"/>
  <c r="S4" i="7"/>
  <c r="R4" i="7"/>
  <c r="Q4" i="7"/>
  <c r="P4" i="7"/>
  <c r="O4" i="7"/>
  <c r="N4" i="7"/>
  <c r="AE3" i="7"/>
  <c r="W3" i="7"/>
  <c r="AO3" i="7" s="1"/>
  <c r="V3" i="7"/>
  <c r="U3" i="7"/>
  <c r="T3" i="7"/>
  <c r="S3" i="7"/>
  <c r="R3" i="7"/>
  <c r="Q3" i="7"/>
  <c r="P3" i="7"/>
  <c r="O3" i="7"/>
  <c r="N3" i="7"/>
  <c r="I5" i="9"/>
  <c r="I16" i="9"/>
  <c r="I15" i="9"/>
  <c r="I14" i="9"/>
  <c r="I13" i="9"/>
  <c r="I12" i="9"/>
  <c r="I11" i="9"/>
  <c r="I10" i="9"/>
  <c r="I9" i="9"/>
  <c r="I8" i="9"/>
  <c r="I7" i="9"/>
  <c r="I6" i="9"/>
  <c r="I4" i="9"/>
  <c r="I3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F3" i="9"/>
  <c r="C5" i="9"/>
  <c r="C4" i="9"/>
  <c r="C3" i="9"/>
  <c r="C2" i="9"/>
  <c r="AX11" i="7" l="1"/>
  <c r="AH20" i="7"/>
  <c r="AH16" i="7"/>
  <c r="AH12" i="7"/>
  <c r="AH8" i="7"/>
  <c r="AH4" i="7"/>
  <c r="AH19" i="7"/>
  <c r="AH15" i="7"/>
  <c r="AH11" i="7"/>
  <c r="AG3" i="7"/>
  <c r="AH18" i="7"/>
  <c r="AH14" i="7"/>
  <c r="AH10" i="7"/>
  <c r="AH6" i="7"/>
  <c r="AH17" i="7"/>
  <c r="AH13" i="7"/>
  <c r="AH9" i="7"/>
  <c r="AH5" i="7"/>
  <c r="AH7" i="7"/>
  <c r="AH3" i="7"/>
  <c r="AV11" i="7"/>
  <c r="AK14" i="7"/>
  <c r="AQ14" i="7"/>
  <c r="AK18" i="7"/>
  <c r="AV14" i="7"/>
  <c r="AZ15" i="7"/>
  <c r="AV19" i="7"/>
  <c r="AQ19" i="7"/>
  <c r="AZ19" i="7"/>
  <c r="AT16" i="7"/>
  <c r="AQ18" i="7"/>
  <c r="AK11" i="7"/>
  <c r="AZ18" i="7"/>
  <c r="AK7" i="7"/>
  <c r="AX5" i="7"/>
  <c r="AX4" i="7"/>
  <c r="AZ10" i="7"/>
  <c r="AV7" i="7"/>
  <c r="AV10" i="7"/>
  <c r="AK10" i="7"/>
  <c r="AZ11" i="7"/>
  <c r="AT12" i="7"/>
  <c r="C9" i="7"/>
  <c r="AK6" i="7"/>
  <c r="AT4" i="7"/>
  <c r="Z7" i="7"/>
  <c r="AZ9" i="7"/>
  <c r="AX7" i="7"/>
  <c r="AZ7" i="7"/>
  <c r="AQ7" i="7"/>
  <c r="AQ10" i="7"/>
  <c r="AZ12" i="7"/>
  <c r="Z15" i="7"/>
  <c r="AB15" i="7" s="1"/>
  <c r="AK15" i="7"/>
  <c r="AA5" i="7"/>
  <c r="AT6" i="7"/>
  <c r="AT8" i="7"/>
  <c r="Z11" i="7"/>
  <c r="AT13" i="7"/>
  <c r="AA13" i="7"/>
  <c r="AT18" i="7"/>
  <c r="AV6" i="7"/>
  <c r="AQ6" i="7"/>
  <c r="AZ6" i="7"/>
  <c r="AA9" i="7"/>
  <c r="AT10" i="7"/>
  <c r="AQ11" i="7"/>
  <c r="AT14" i="7"/>
  <c r="AV15" i="7"/>
  <c r="AQ15" i="7"/>
  <c r="AV18" i="7"/>
  <c r="AA17" i="7"/>
  <c r="BA5" i="7"/>
  <c r="AS5" i="7"/>
  <c r="AP5" i="7"/>
  <c r="AU5" i="7"/>
  <c r="AY5" i="7"/>
  <c r="Z6" i="7"/>
  <c r="AG7" i="7"/>
  <c r="AT7" i="7"/>
  <c r="BA8" i="7"/>
  <c r="AS8" i="7"/>
  <c r="AA8" i="7"/>
  <c r="AP8" i="7"/>
  <c r="AU8" i="7"/>
  <c r="AY8" i="7"/>
  <c r="Z9" i="7"/>
  <c r="AK9" i="7"/>
  <c r="AQ9" i="7"/>
  <c r="AV9" i="7"/>
  <c r="AG10" i="7"/>
  <c r="AT19" i="7"/>
  <c r="BA20" i="7"/>
  <c r="AS20" i="7"/>
  <c r="AA20" i="7"/>
  <c r="AP20" i="7"/>
  <c r="AU20" i="7"/>
  <c r="AY20" i="7"/>
  <c r="BA17" i="7"/>
  <c r="AS17" i="7"/>
  <c r="AP17" i="7"/>
  <c r="AU17" i="7"/>
  <c r="AY17" i="7"/>
  <c r="Z18" i="7"/>
  <c r="AB18" i="7" s="1"/>
  <c r="AG19" i="7"/>
  <c r="BA4" i="7"/>
  <c r="AS4" i="7"/>
  <c r="AA4" i="7"/>
  <c r="AP4" i="7"/>
  <c r="AU4" i="7"/>
  <c r="AY4" i="7"/>
  <c r="Z5" i="7"/>
  <c r="AK5" i="7"/>
  <c r="AQ5" i="7"/>
  <c r="AV5" i="7"/>
  <c r="AZ5" i="7"/>
  <c r="AG6" i="7"/>
  <c r="Y6" i="7" s="1"/>
  <c r="AT15" i="7"/>
  <c r="BA16" i="7"/>
  <c r="AS16" i="7"/>
  <c r="AA16" i="7"/>
  <c r="AP16" i="7"/>
  <c r="AU16" i="7"/>
  <c r="AY16" i="7"/>
  <c r="Z17" i="7"/>
  <c r="AB17" i="7" s="1"/>
  <c r="AK17" i="7"/>
  <c r="AQ17" i="7"/>
  <c r="AV17" i="7"/>
  <c r="AZ17" i="7"/>
  <c r="AG18" i="7"/>
  <c r="Z4" i="7"/>
  <c r="AK4" i="7"/>
  <c r="AQ4" i="7"/>
  <c r="AV4" i="7"/>
  <c r="AZ4" i="7"/>
  <c r="AG5" i="7"/>
  <c r="BA7" i="7"/>
  <c r="AS7" i="7"/>
  <c r="AA7" i="7"/>
  <c r="AP7" i="7"/>
  <c r="AU7" i="7"/>
  <c r="AY7" i="7"/>
  <c r="Z8" i="7"/>
  <c r="AK8" i="7"/>
  <c r="AQ8" i="7"/>
  <c r="AV8" i="7"/>
  <c r="AZ8" i="7"/>
  <c r="AG9" i="7"/>
  <c r="BA11" i="7"/>
  <c r="AS11" i="7"/>
  <c r="AA11" i="7"/>
  <c r="AP11" i="7"/>
  <c r="AU11" i="7"/>
  <c r="AY11" i="7"/>
  <c r="Z12" i="7"/>
  <c r="AB12" i="7" s="1"/>
  <c r="AK12" i="7"/>
  <c r="AQ12" i="7"/>
  <c r="AV12" i="7"/>
  <c r="AG13" i="7"/>
  <c r="BA15" i="7"/>
  <c r="AS15" i="7"/>
  <c r="AA15" i="7"/>
  <c r="AP15" i="7"/>
  <c r="AU15" i="7"/>
  <c r="AY15" i="7"/>
  <c r="Z16" i="7"/>
  <c r="AK16" i="7"/>
  <c r="AQ16" i="7"/>
  <c r="AV16" i="7"/>
  <c r="AZ16" i="7"/>
  <c r="AG17" i="7"/>
  <c r="BA19" i="7"/>
  <c r="AS19" i="7"/>
  <c r="AA19" i="7"/>
  <c r="AP19" i="7"/>
  <c r="AU19" i="7"/>
  <c r="AY19" i="7"/>
  <c r="Z20" i="7"/>
  <c r="AB20" i="7" s="1"/>
  <c r="AK20" i="7"/>
  <c r="AQ20" i="7"/>
  <c r="AV20" i="7"/>
  <c r="AZ20" i="7"/>
  <c r="BA9" i="7"/>
  <c r="AS9" i="7"/>
  <c r="AP9" i="7"/>
  <c r="AU9" i="7"/>
  <c r="AY9" i="7"/>
  <c r="Z10" i="7"/>
  <c r="AB10" i="7" s="1"/>
  <c r="AG11" i="7"/>
  <c r="AT11" i="7"/>
  <c r="BA12" i="7"/>
  <c r="AS12" i="7"/>
  <c r="AA12" i="7"/>
  <c r="AP12" i="7"/>
  <c r="AU12" i="7"/>
  <c r="AY12" i="7"/>
  <c r="Z13" i="7"/>
  <c r="AB13" i="7" s="1"/>
  <c r="AK13" i="7"/>
  <c r="AQ13" i="7"/>
  <c r="AV13" i="7"/>
  <c r="AZ13" i="7"/>
  <c r="AG14" i="7"/>
  <c r="AO4" i="7"/>
  <c r="AJ4" i="7"/>
  <c r="AG4" i="7"/>
  <c r="AT5" i="7"/>
  <c r="BA6" i="7"/>
  <c r="AS6" i="7"/>
  <c r="AA6" i="7"/>
  <c r="AP6" i="7"/>
  <c r="AU6" i="7"/>
  <c r="AY6" i="7"/>
  <c r="AG8" i="7"/>
  <c r="AT9" i="7"/>
  <c r="BA10" i="7"/>
  <c r="AS10" i="7"/>
  <c r="AA10" i="7"/>
  <c r="AP10" i="7"/>
  <c r="AU10" i="7"/>
  <c r="AY10" i="7"/>
  <c r="AG12" i="7"/>
  <c r="BA14" i="7"/>
  <c r="AS14" i="7"/>
  <c r="AA14" i="7"/>
  <c r="AP14" i="7"/>
  <c r="AU14" i="7"/>
  <c r="AY14" i="7"/>
  <c r="AG16" i="7"/>
  <c r="AT17" i="7"/>
  <c r="BA18" i="7"/>
  <c r="AS18" i="7"/>
  <c r="AA18" i="7"/>
  <c r="AP18" i="7"/>
  <c r="AU18" i="7"/>
  <c r="AY18" i="7"/>
  <c r="Z19" i="7"/>
  <c r="AB19" i="7" s="1"/>
  <c r="AG20" i="7"/>
  <c r="BA13" i="7"/>
  <c r="AS13" i="7"/>
  <c r="AP13" i="7"/>
  <c r="AU13" i="7"/>
  <c r="AY13" i="7"/>
  <c r="Z14" i="7"/>
  <c r="AG15" i="7"/>
  <c r="AT20" i="7"/>
  <c r="AJ5" i="7"/>
  <c r="AJ6" i="7"/>
  <c r="AJ7" i="7"/>
  <c r="AJ8" i="7"/>
  <c r="AJ9" i="7"/>
  <c r="AJ10" i="7"/>
  <c r="AJ11" i="7"/>
  <c r="AJ12" i="7"/>
  <c r="AJ13" i="7"/>
  <c r="AJ14" i="7"/>
  <c r="AJ15" i="7"/>
  <c r="AJ16" i="7"/>
  <c r="AJ17" i="7"/>
  <c r="AJ18" i="7"/>
  <c r="AJ19" i="7"/>
  <c r="AJ20" i="7"/>
  <c r="AX3" i="7"/>
  <c r="C6" i="9"/>
  <c r="AB14" i="7" l="1"/>
  <c r="AB11" i="7"/>
  <c r="AB5" i="7"/>
  <c r="AB16" i="7"/>
  <c r="AB8" i="7"/>
  <c r="AB6" i="7"/>
  <c r="AB7" i="7"/>
  <c r="AB9" i="7"/>
  <c r="AB4" i="7"/>
  <c r="AD3" i="6" l="1"/>
  <c r="AD4" i="6"/>
  <c r="AD5" i="6"/>
  <c r="AD6" i="6"/>
  <c r="AD7" i="6"/>
  <c r="AD8" i="6"/>
  <c r="AD9" i="6"/>
  <c r="AD10" i="6"/>
  <c r="AD11" i="6"/>
  <c r="AD12" i="6"/>
  <c r="AD13" i="6"/>
  <c r="AD15" i="6"/>
  <c r="AD16" i="6"/>
  <c r="AD14" i="6"/>
  <c r="AD17" i="6"/>
  <c r="AD18" i="6"/>
  <c r="AD19" i="6"/>
  <c r="AD20" i="6"/>
  <c r="AD21" i="6"/>
  <c r="AD22" i="6"/>
  <c r="AD23" i="6"/>
  <c r="AD24" i="6"/>
  <c r="AD25" i="6"/>
  <c r="AD26" i="6"/>
  <c r="AD27" i="6"/>
  <c r="AD28" i="6"/>
  <c r="AD29" i="6"/>
  <c r="AD30" i="6"/>
  <c r="AD31" i="6"/>
  <c r="AD32" i="6"/>
  <c r="AD33" i="6"/>
  <c r="AD34" i="6"/>
  <c r="AD35" i="6"/>
  <c r="AD36" i="6"/>
  <c r="AD37" i="6"/>
  <c r="AD38" i="6"/>
  <c r="AD39" i="6"/>
  <c r="AD40" i="6"/>
  <c r="AD41" i="6"/>
  <c r="AD42" i="6"/>
  <c r="AD43" i="6"/>
  <c r="AD44" i="6"/>
  <c r="AD45" i="6"/>
  <c r="AD46" i="6"/>
  <c r="AD47" i="6"/>
  <c r="AD48" i="6"/>
  <c r="AD49" i="6"/>
  <c r="AD50" i="6"/>
  <c r="AD51" i="6"/>
  <c r="AD52" i="6"/>
  <c r="AD53" i="6"/>
  <c r="AD54" i="6"/>
  <c r="AD55" i="6"/>
  <c r="AD56" i="6"/>
  <c r="AD57" i="6"/>
  <c r="AD58" i="6"/>
  <c r="AD59" i="6"/>
  <c r="AD60" i="6"/>
  <c r="AD61" i="6"/>
  <c r="AD62" i="6"/>
  <c r="AD63" i="6"/>
  <c r="AD64" i="6"/>
  <c r="AD65" i="6"/>
  <c r="AD66" i="6"/>
  <c r="AD67" i="6"/>
  <c r="AD68" i="6"/>
  <c r="AD69" i="6"/>
  <c r="AD70" i="6"/>
  <c r="AD71" i="6"/>
  <c r="AD72" i="6"/>
  <c r="AD73" i="6"/>
  <c r="AD74" i="6"/>
  <c r="AD75" i="6"/>
  <c r="AD76" i="6"/>
  <c r="AD77" i="6"/>
  <c r="AD78" i="6"/>
  <c r="AD79" i="6"/>
  <c r="AD80" i="6"/>
  <c r="AD81" i="6"/>
  <c r="AD82" i="6"/>
  <c r="AD83" i="6"/>
  <c r="AD84" i="6"/>
  <c r="AD85" i="6"/>
  <c r="AD86" i="6"/>
  <c r="AD87" i="6"/>
  <c r="AD88" i="6"/>
  <c r="AD89" i="6"/>
  <c r="AD90" i="6"/>
  <c r="AD91" i="6"/>
  <c r="AD2" i="6"/>
  <c r="Y2" i="6"/>
  <c r="W3" i="6"/>
  <c r="W4" i="6"/>
  <c r="W5" i="6"/>
  <c r="W6" i="6"/>
  <c r="W7" i="6"/>
  <c r="W8" i="6"/>
  <c r="W9" i="6"/>
  <c r="W10" i="6"/>
  <c r="W11" i="6"/>
  <c r="W12" i="6"/>
  <c r="W13" i="6"/>
  <c r="W14" i="6"/>
  <c r="W15" i="6"/>
  <c r="W16" i="6"/>
  <c r="W17" i="6"/>
  <c r="W18" i="6"/>
  <c r="W19" i="6"/>
  <c r="W22" i="6"/>
  <c r="W20" i="6"/>
  <c r="W21" i="6"/>
  <c r="W23" i="6"/>
  <c r="W24" i="6"/>
  <c r="W25" i="6"/>
  <c r="W26" i="6"/>
  <c r="W27" i="6"/>
  <c r="W28" i="6"/>
  <c r="W29" i="6"/>
  <c r="W30" i="6"/>
  <c r="W31" i="6"/>
  <c r="W32" i="6"/>
  <c r="W33" i="6"/>
  <c r="W34" i="6"/>
  <c r="W36" i="6"/>
  <c r="W35" i="6"/>
  <c r="W37" i="6"/>
  <c r="W38" i="6"/>
  <c r="W39" i="6"/>
  <c r="W40" i="6"/>
  <c r="W41" i="6"/>
  <c r="W44" i="6"/>
  <c r="W42" i="6"/>
  <c r="W45" i="6"/>
  <c r="W43" i="6"/>
  <c r="W47" i="6"/>
  <c r="W48" i="6"/>
  <c r="W46" i="6"/>
  <c r="W49" i="6"/>
  <c r="W50" i="6"/>
  <c r="W51" i="6"/>
  <c r="W52" i="6"/>
  <c r="W53" i="6"/>
  <c r="W54" i="6"/>
  <c r="W55" i="6"/>
  <c r="W56" i="6"/>
  <c r="W57" i="6"/>
  <c r="W58" i="6"/>
  <c r="W60" i="6"/>
  <c r="W59" i="6"/>
  <c r="W63" i="6"/>
  <c r="W61" i="6"/>
  <c r="W62" i="6"/>
  <c r="W64" i="6"/>
  <c r="W65" i="6"/>
  <c r="W66" i="6"/>
  <c r="W67" i="6"/>
  <c r="W68" i="6"/>
  <c r="W69" i="6"/>
  <c r="W70" i="6"/>
  <c r="W73" i="6"/>
  <c r="W74" i="6"/>
  <c r="W71" i="6"/>
  <c r="W72" i="6"/>
  <c r="W76" i="6"/>
  <c r="W77" i="6"/>
  <c r="W75" i="6"/>
  <c r="W78" i="6"/>
  <c r="W79" i="6"/>
  <c r="W80" i="6"/>
  <c r="W82" i="6"/>
  <c r="W81" i="6"/>
  <c r="W83" i="6"/>
  <c r="W85" i="6"/>
  <c r="W86" i="6"/>
  <c r="W84" i="6"/>
  <c r="W87" i="6"/>
  <c r="W88" i="6"/>
  <c r="W90" i="6"/>
  <c r="W89" i="6"/>
  <c r="W91" i="6"/>
  <c r="W2" i="6"/>
  <c r="V85" i="6"/>
  <c r="Y85" i="6"/>
  <c r="Z85" i="6"/>
  <c r="AA85" i="6"/>
  <c r="AE85" i="6" s="1"/>
  <c r="V5" i="6"/>
  <c r="Y5" i="6"/>
  <c r="Z5" i="6"/>
  <c r="AA5" i="6"/>
  <c r="AE5" i="6" s="1"/>
  <c r="V34" i="6"/>
  <c r="Y34" i="6"/>
  <c r="Z34" i="6"/>
  <c r="AA34" i="6"/>
  <c r="AE34" i="6" s="1"/>
  <c r="V10" i="6"/>
  <c r="Y10" i="6"/>
  <c r="Z10" i="6"/>
  <c r="AA10" i="6"/>
  <c r="AE10" i="6" s="1"/>
  <c r="V3" i="6"/>
  <c r="Y3" i="6"/>
  <c r="Z3" i="6"/>
  <c r="AA3" i="6"/>
  <c r="AE3" i="6" s="1"/>
  <c r="V4" i="6"/>
  <c r="Y4" i="6"/>
  <c r="Z4" i="6"/>
  <c r="AA4" i="6"/>
  <c r="AE4" i="6" s="1"/>
  <c r="V7" i="6"/>
  <c r="Y7" i="6"/>
  <c r="Z7" i="6"/>
  <c r="AA7" i="6"/>
  <c r="AE7" i="6" s="1"/>
  <c r="V27" i="6"/>
  <c r="Y27" i="6"/>
  <c r="Z27" i="6"/>
  <c r="AA27" i="6"/>
  <c r="AE27" i="6" s="1"/>
  <c r="V24" i="6"/>
  <c r="Y24" i="6"/>
  <c r="Z24" i="6"/>
  <c r="AA24" i="6"/>
  <c r="AE24" i="6" s="1"/>
  <c r="V20" i="6"/>
  <c r="Y20" i="6"/>
  <c r="Z20" i="6"/>
  <c r="AA20" i="6"/>
  <c r="AE20" i="6" s="1"/>
  <c r="V23" i="6"/>
  <c r="Y23" i="6"/>
  <c r="Z23" i="6"/>
  <c r="AA23" i="6"/>
  <c r="AE23" i="6" s="1"/>
  <c r="V36" i="6"/>
  <c r="Y36" i="6"/>
  <c r="Z36" i="6"/>
  <c r="AA36" i="6"/>
  <c r="AE36" i="6" s="1"/>
  <c r="V39" i="6"/>
  <c r="Y39" i="6"/>
  <c r="Z39" i="6"/>
  <c r="AA39" i="6"/>
  <c r="AE39" i="6" s="1"/>
  <c r="V35" i="6"/>
  <c r="Y35" i="6"/>
  <c r="Z35" i="6"/>
  <c r="AA35" i="6"/>
  <c r="AE35" i="6" s="1"/>
  <c r="V28" i="6"/>
  <c r="Y28" i="6"/>
  <c r="Z28" i="6"/>
  <c r="AA28" i="6"/>
  <c r="AE28" i="6" s="1"/>
  <c r="V32" i="6"/>
  <c r="Y32" i="6"/>
  <c r="Z32" i="6"/>
  <c r="AA32" i="6"/>
  <c r="AE32" i="6" s="1"/>
  <c r="V31" i="6"/>
  <c r="Y31" i="6"/>
  <c r="Z31" i="6"/>
  <c r="AA31" i="6"/>
  <c r="AE31" i="6" s="1"/>
  <c r="V48" i="6"/>
  <c r="Y48" i="6"/>
  <c r="Z48" i="6"/>
  <c r="AA48" i="6"/>
  <c r="AE48" i="6" s="1"/>
  <c r="V41" i="6"/>
  <c r="Y41" i="6"/>
  <c r="Z41" i="6"/>
  <c r="AA41" i="6"/>
  <c r="AE41" i="6" s="1"/>
  <c r="V45" i="6"/>
  <c r="Y45" i="6"/>
  <c r="Z45" i="6"/>
  <c r="AA45" i="6"/>
  <c r="AE45" i="6" s="1"/>
  <c r="V42" i="6"/>
  <c r="Y42" i="6"/>
  <c r="Z42" i="6"/>
  <c r="AA42" i="6"/>
  <c r="AE42" i="6" s="1"/>
  <c r="V55" i="6"/>
  <c r="Y55" i="6"/>
  <c r="Z55" i="6"/>
  <c r="AA55" i="6"/>
  <c r="AE55" i="6" s="1"/>
  <c r="V59" i="6"/>
  <c r="Y59" i="6"/>
  <c r="Z59" i="6"/>
  <c r="AA59" i="6"/>
  <c r="AE59" i="6" s="1"/>
  <c r="V54" i="6"/>
  <c r="Y54" i="6"/>
  <c r="Z54" i="6"/>
  <c r="AA54" i="6"/>
  <c r="AE54" i="6" s="1"/>
  <c r="V66" i="6"/>
  <c r="Y66" i="6"/>
  <c r="Z66" i="6"/>
  <c r="AA66" i="6"/>
  <c r="V71" i="6"/>
  <c r="Y71" i="6"/>
  <c r="Z71" i="6"/>
  <c r="AA71" i="6"/>
  <c r="V78" i="6"/>
  <c r="Y78" i="6"/>
  <c r="Z78" i="6"/>
  <c r="AA78" i="6"/>
  <c r="V75" i="6"/>
  <c r="Y75" i="6"/>
  <c r="Z75" i="6"/>
  <c r="AA75" i="6"/>
  <c r="V84" i="6"/>
  <c r="Y84" i="6"/>
  <c r="Z84" i="6"/>
  <c r="AA84" i="6"/>
  <c r="V89" i="6"/>
  <c r="Y89" i="6"/>
  <c r="Z89" i="6"/>
  <c r="AA89" i="6"/>
  <c r="AE89" i="6" s="1"/>
  <c r="V91" i="6"/>
  <c r="Y91" i="6"/>
  <c r="Z91" i="6"/>
  <c r="AA91" i="6"/>
  <c r="AE91" i="6" s="1"/>
  <c r="V57" i="6"/>
  <c r="Y57" i="6"/>
  <c r="Z57" i="6"/>
  <c r="AA57" i="6"/>
  <c r="AE57" i="6" s="1"/>
  <c r="V22" i="6"/>
  <c r="Y22" i="6"/>
  <c r="Z22" i="6"/>
  <c r="AA22" i="6"/>
  <c r="AE22" i="6" s="1"/>
  <c r="V9" i="6"/>
  <c r="Y9" i="6"/>
  <c r="Z9" i="6"/>
  <c r="AA9" i="6"/>
  <c r="AE9" i="6" s="1"/>
  <c r="V30" i="6"/>
  <c r="Y30" i="6"/>
  <c r="Z30" i="6"/>
  <c r="AA30" i="6"/>
  <c r="AE30" i="6" s="1"/>
  <c r="V77" i="6"/>
  <c r="Y77" i="6"/>
  <c r="Z77" i="6"/>
  <c r="AA77" i="6"/>
  <c r="V15" i="6"/>
  <c r="Y15" i="6"/>
  <c r="Z15" i="6"/>
  <c r="AA15" i="6"/>
  <c r="AE15" i="6" s="1"/>
  <c r="V47" i="6"/>
  <c r="Y47" i="6"/>
  <c r="Z47" i="6"/>
  <c r="AA47" i="6"/>
  <c r="AE47" i="6" s="1"/>
  <c r="V87" i="6"/>
  <c r="Y87" i="6"/>
  <c r="Z87" i="6"/>
  <c r="AA87" i="6"/>
  <c r="AE87" i="6" s="1"/>
  <c r="V49" i="6"/>
  <c r="Y49" i="6"/>
  <c r="Z49" i="6"/>
  <c r="AA49" i="6"/>
  <c r="AE49" i="6" s="1"/>
  <c r="V29" i="6"/>
  <c r="Y29" i="6"/>
  <c r="Z29" i="6"/>
  <c r="AA29" i="6"/>
  <c r="AE29" i="6" s="1"/>
  <c r="V8" i="6"/>
  <c r="Y8" i="6"/>
  <c r="Z8" i="6"/>
  <c r="AA8" i="6"/>
  <c r="AE8" i="6" s="1"/>
  <c r="V52" i="6"/>
  <c r="Y52" i="6"/>
  <c r="Z52" i="6"/>
  <c r="AA52" i="6"/>
  <c r="AE52" i="6" s="1"/>
  <c r="V12" i="6"/>
  <c r="Y12" i="6"/>
  <c r="Z12" i="6"/>
  <c r="AA12" i="6"/>
  <c r="AE12" i="6" s="1"/>
  <c r="V70" i="6"/>
  <c r="Y70" i="6"/>
  <c r="Z70" i="6"/>
  <c r="AA70" i="6"/>
  <c r="V21" i="6"/>
  <c r="Y21" i="6"/>
  <c r="AB21" i="6" s="1"/>
  <c r="Z21" i="6"/>
  <c r="AA21" i="6"/>
  <c r="AE21" i="6" s="1"/>
  <c r="V76" i="6"/>
  <c r="Y76" i="6"/>
  <c r="Z76" i="6"/>
  <c r="AA76" i="6"/>
  <c r="V90" i="6"/>
  <c r="Y90" i="6"/>
  <c r="Z90" i="6"/>
  <c r="AA90" i="6"/>
  <c r="AE90" i="6" s="1"/>
  <c r="V37" i="6"/>
  <c r="Y37" i="6"/>
  <c r="Z37" i="6"/>
  <c r="AA37" i="6"/>
  <c r="AE37" i="6" s="1"/>
  <c r="V43" i="6"/>
  <c r="Y43" i="6"/>
  <c r="Z43" i="6"/>
  <c r="AA43" i="6"/>
  <c r="AE43" i="6" s="1"/>
  <c r="V72" i="6"/>
  <c r="Y72" i="6"/>
  <c r="Z72" i="6"/>
  <c r="AA72" i="6"/>
  <c r="V33" i="6"/>
  <c r="Y33" i="6"/>
  <c r="Z33" i="6"/>
  <c r="AA33" i="6"/>
  <c r="AE33" i="6" s="1"/>
  <c r="V60" i="6"/>
  <c r="Y60" i="6"/>
  <c r="Z60" i="6"/>
  <c r="AA60" i="6"/>
  <c r="AE60" i="6" s="1"/>
  <c r="V51" i="6"/>
  <c r="Y51" i="6"/>
  <c r="Z51" i="6"/>
  <c r="AA51" i="6"/>
  <c r="AE51" i="6" s="1"/>
  <c r="V68" i="6"/>
  <c r="Y68" i="6"/>
  <c r="Z68" i="6"/>
  <c r="AA68" i="6"/>
  <c r="V44" i="6"/>
  <c r="Y44" i="6"/>
  <c r="Z44" i="6"/>
  <c r="AA44" i="6"/>
  <c r="AE44" i="6" s="1"/>
  <c r="V6" i="6"/>
  <c r="Y6" i="6"/>
  <c r="AB80" i="6" s="1"/>
  <c r="Z6" i="6"/>
  <c r="AA6" i="6"/>
  <c r="AE6" i="6" s="1"/>
  <c r="V40" i="6"/>
  <c r="Y40" i="6"/>
  <c r="Z40" i="6"/>
  <c r="AA40" i="6"/>
  <c r="AE40" i="6" s="1"/>
  <c r="V2" i="6"/>
  <c r="Z2" i="6"/>
  <c r="AA2" i="6"/>
  <c r="AE2" i="6" s="1"/>
  <c r="V63" i="6"/>
  <c r="Y63" i="6"/>
  <c r="Z63" i="6"/>
  <c r="AA63" i="6"/>
  <c r="AE63" i="6" s="1"/>
  <c r="V88" i="6"/>
  <c r="Y88" i="6"/>
  <c r="Z88" i="6"/>
  <c r="AA88" i="6"/>
  <c r="AE88" i="6" s="1"/>
  <c r="V69" i="6"/>
  <c r="Y69" i="6"/>
  <c r="Z69" i="6"/>
  <c r="AA69" i="6"/>
  <c r="V13" i="6"/>
  <c r="Y13" i="6"/>
  <c r="Z13" i="6"/>
  <c r="AA13" i="6"/>
  <c r="AE13" i="6" s="1"/>
  <c r="V25" i="6"/>
  <c r="Y25" i="6"/>
  <c r="Z25" i="6"/>
  <c r="AA25" i="6"/>
  <c r="AE25" i="6" s="1"/>
  <c r="V38" i="6"/>
  <c r="Y38" i="6"/>
  <c r="Z38" i="6"/>
  <c r="AA38" i="6"/>
  <c r="AE38" i="6" s="1"/>
  <c r="V56" i="6"/>
  <c r="Y56" i="6"/>
  <c r="Z56" i="6"/>
  <c r="AA56" i="6"/>
  <c r="AE56" i="6" s="1"/>
  <c r="V64" i="6"/>
  <c r="Y64" i="6"/>
  <c r="Z64" i="6"/>
  <c r="AA64" i="6"/>
  <c r="AE64" i="6" s="1"/>
  <c r="V83" i="6"/>
  <c r="Y83" i="6"/>
  <c r="Z83" i="6"/>
  <c r="AA83" i="6"/>
  <c r="AE83" i="6" s="1"/>
  <c r="V17" i="6"/>
  <c r="Y17" i="6"/>
  <c r="Z17" i="6"/>
  <c r="AA17" i="6"/>
  <c r="AE17" i="6" s="1"/>
  <c r="V53" i="6"/>
  <c r="Y53" i="6"/>
  <c r="Z53" i="6"/>
  <c r="AA53" i="6"/>
  <c r="AE53" i="6" s="1"/>
  <c r="V26" i="6"/>
  <c r="Y26" i="6"/>
  <c r="Z26" i="6"/>
  <c r="AA26" i="6"/>
  <c r="AE26" i="6" s="1"/>
  <c r="V18" i="6"/>
  <c r="Y18" i="6"/>
  <c r="Z18" i="6"/>
  <c r="AA18" i="6"/>
  <c r="AE18" i="6" s="1"/>
  <c r="V58" i="6"/>
  <c r="Y58" i="6"/>
  <c r="Z58" i="6"/>
  <c r="AA58" i="6"/>
  <c r="AE58" i="6" s="1"/>
  <c r="V80" i="6"/>
  <c r="Y80" i="6"/>
  <c r="Z80" i="6"/>
  <c r="AA80" i="6"/>
  <c r="AE80" i="6" s="1"/>
  <c r="V62" i="6"/>
  <c r="Y62" i="6"/>
  <c r="Z62" i="6"/>
  <c r="AA62" i="6"/>
  <c r="V16" i="6"/>
  <c r="Y16" i="6"/>
  <c r="Z16" i="6"/>
  <c r="AA16" i="6"/>
  <c r="AE16" i="6" s="1"/>
  <c r="V65" i="6"/>
  <c r="Y65" i="6"/>
  <c r="Z65" i="6"/>
  <c r="AA65" i="6"/>
  <c r="V50" i="6"/>
  <c r="Y50" i="6"/>
  <c r="Z50" i="6"/>
  <c r="AA50" i="6"/>
  <c r="AE50" i="6" s="1"/>
  <c r="V73" i="6"/>
  <c r="Y73" i="6"/>
  <c r="Z73" i="6"/>
  <c r="AA73" i="6"/>
  <c r="V82" i="6"/>
  <c r="Y82" i="6"/>
  <c r="Z82" i="6"/>
  <c r="AA82" i="6"/>
  <c r="AE82" i="6" s="1"/>
  <c r="V86" i="6"/>
  <c r="Y86" i="6"/>
  <c r="Z86" i="6"/>
  <c r="AA86" i="6"/>
  <c r="AE86" i="6" s="1"/>
  <c r="V67" i="6"/>
  <c r="Y67" i="6"/>
  <c r="Z67" i="6"/>
  <c r="AA67" i="6"/>
  <c r="AE67" i="6" s="1"/>
  <c r="V11" i="6"/>
  <c r="Y11" i="6"/>
  <c r="Z11" i="6"/>
  <c r="AA11" i="6"/>
  <c r="AE11" i="6" s="1"/>
  <c r="V74" i="6"/>
  <c r="Y74" i="6"/>
  <c r="Z74" i="6"/>
  <c r="AA74" i="6"/>
  <c r="V81" i="6"/>
  <c r="Y81" i="6"/>
  <c r="Z81" i="6"/>
  <c r="AA81" i="6"/>
  <c r="AE81" i="6" s="1"/>
  <c r="V79" i="6"/>
  <c r="Y79" i="6"/>
  <c r="Z79" i="6"/>
  <c r="AA79" i="6"/>
  <c r="V46" i="6"/>
  <c r="Y46" i="6"/>
  <c r="Z46" i="6"/>
  <c r="AA46" i="6"/>
  <c r="AE46" i="6" s="1"/>
  <c r="V19" i="6"/>
  <c r="Y19" i="6"/>
  <c r="Z19" i="6"/>
  <c r="AA19" i="6"/>
  <c r="AE19" i="6" s="1"/>
  <c r="V61" i="6"/>
  <c r="Y61" i="6"/>
  <c r="Z61" i="6"/>
  <c r="AA61" i="6"/>
  <c r="V14" i="6"/>
  <c r="BC3" i="7"/>
  <c r="AI3" i="7"/>
  <c r="AR3" i="7"/>
  <c r="BB3" i="7"/>
  <c r="AW3" i="7"/>
  <c r="AL3" i="7"/>
  <c r="AN3" i="7"/>
  <c r="X3" i="7"/>
  <c r="AK3" i="7" s="1"/>
  <c r="Y14" i="6"/>
  <c r="Z14" i="6"/>
  <c r="AA14" i="6"/>
  <c r="AE14" i="6" s="1"/>
  <c r="X81" i="6"/>
  <c r="X90" i="6"/>
  <c r="X60" i="6"/>
  <c r="X7" i="6"/>
  <c r="X21" i="6"/>
  <c r="X52" i="6"/>
  <c r="X32" i="6"/>
  <c r="X22" i="6"/>
  <c r="AB7" i="6"/>
  <c r="X84" i="6"/>
  <c r="X54" i="6"/>
  <c r="AB74" i="6"/>
  <c r="X82" i="6"/>
  <c r="X69" i="6"/>
  <c r="X33" i="6"/>
  <c r="X20" i="6"/>
  <c r="X5" i="6"/>
  <c r="X27" i="6"/>
  <c r="X38" i="6"/>
  <c r="X18" i="6"/>
  <c r="AB89" i="6"/>
  <c r="AB24" i="6"/>
  <c r="AB11" i="6"/>
  <c r="AB73" i="6"/>
  <c r="AB40" i="6"/>
  <c r="AB18" i="6"/>
  <c r="AB46" i="6"/>
  <c r="X80" i="6"/>
  <c r="X40" i="6"/>
  <c r="X61" i="6"/>
  <c r="X15" i="6"/>
  <c r="X89" i="6"/>
  <c r="X31" i="6"/>
  <c r="X78" i="6"/>
  <c r="X62" i="6"/>
  <c r="X64" i="6"/>
  <c r="AB87" i="6"/>
  <c r="AB58" i="6"/>
  <c r="AB51" i="6" l="1"/>
  <c r="AB2" i="6"/>
  <c r="AB3" i="6"/>
  <c r="AB34" i="6"/>
  <c r="AB65" i="6"/>
  <c r="AB17" i="6"/>
  <c r="AB69" i="6"/>
  <c r="AB30" i="6"/>
  <c r="AB42" i="6"/>
  <c r="AB38" i="6"/>
  <c r="X77" i="6"/>
  <c r="X16" i="6"/>
  <c r="AE69" i="6"/>
  <c r="AE61" i="6"/>
  <c r="AE74" i="6"/>
  <c r="AE65" i="6"/>
  <c r="AE62" i="6"/>
  <c r="AE68" i="6"/>
  <c r="AE72" i="6"/>
  <c r="AE76" i="6"/>
  <c r="AE70" i="6"/>
  <c r="AE77" i="6"/>
  <c r="AE75" i="6"/>
  <c r="AE71" i="6"/>
  <c r="AE79" i="6"/>
  <c r="AE73" i="6"/>
  <c r="AE84" i="6"/>
  <c r="AE78" i="6"/>
  <c r="AE66" i="6"/>
  <c r="AB83" i="6"/>
  <c r="AB49" i="6"/>
  <c r="AB53" i="6"/>
  <c r="AB22" i="6"/>
  <c r="AB45" i="6"/>
  <c r="AB72" i="6"/>
  <c r="AB20" i="6"/>
  <c r="AB27" i="6"/>
  <c r="AB32" i="6"/>
  <c r="AB36" i="6"/>
  <c r="AB44" i="6"/>
  <c r="AB68" i="6"/>
  <c r="AB60" i="6"/>
  <c r="AB6" i="6"/>
  <c r="AB57" i="6"/>
  <c r="AB28" i="6"/>
  <c r="AB41" i="6"/>
  <c r="AB43" i="6"/>
  <c r="AB66" i="6"/>
  <c r="AB86" i="6"/>
  <c r="AB84" i="6"/>
  <c r="AB91" i="6"/>
  <c r="AB75" i="6"/>
  <c r="AB78" i="6"/>
  <c r="AB71" i="6"/>
  <c r="AB54" i="6"/>
  <c r="AB59" i="6"/>
  <c r="X74" i="6"/>
  <c r="X68" i="6"/>
  <c r="X59" i="6"/>
  <c r="X56" i="6"/>
  <c r="X46" i="6"/>
  <c r="X45" i="6"/>
  <c r="X35" i="6"/>
  <c r="X28" i="6"/>
  <c r="X24" i="6"/>
  <c r="X12" i="6"/>
  <c r="X8" i="6"/>
  <c r="X51" i="6"/>
  <c r="X36" i="6"/>
  <c r="X88" i="6"/>
  <c r="X76" i="6"/>
  <c r="X86" i="6"/>
  <c r="X65" i="6"/>
  <c r="X25" i="6"/>
  <c r="X49" i="6"/>
  <c r="X67" i="6"/>
  <c r="X73" i="6"/>
  <c r="X87" i="6"/>
  <c r="X2" i="6"/>
  <c r="X63" i="6"/>
  <c r="X39" i="6"/>
  <c r="X71" i="6"/>
  <c r="X37" i="6"/>
  <c r="X17" i="6"/>
  <c r="X19" i="6"/>
  <c r="X9" i="6"/>
  <c r="X11" i="6"/>
  <c r="X48" i="6"/>
  <c r="X83" i="6"/>
  <c r="X41" i="6"/>
  <c r="X3" i="6"/>
  <c r="X53" i="6"/>
  <c r="X55" i="6"/>
  <c r="X4" i="6"/>
  <c r="X85" i="6"/>
  <c r="X72" i="6"/>
  <c r="X30" i="6"/>
  <c r="AB61" i="6"/>
  <c r="AB19" i="6"/>
  <c r="AB79" i="6"/>
  <c r="AB81" i="6"/>
  <c r="AB67" i="6"/>
  <c r="AB82" i="6"/>
  <c r="AB50" i="6"/>
  <c r="X70" i="6"/>
  <c r="X66" i="6"/>
  <c r="X58" i="6"/>
  <c r="X50" i="6"/>
  <c r="X47" i="6"/>
  <c r="X44" i="6"/>
  <c r="X34" i="6"/>
  <c r="X26" i="6"/>
  <c r="X14" i="6"/>
  <c r="X10" i="6"/>
  <c r="X6" i="6"/>
  <c r="AB70" i="6"/>
  <c r="AB56" i="6"/>
  <c r="AB63" i="6"/>
  <c r="AB31" i="6"/>
  <c r="AB25" i="6"/>
  <c r="AB39" i="6"/>
  <c r="AB4" i="6"/>
  <c r="AB62" i="6"/>
  <c r="AB76" i="6"/>
  <c r="AB88" i="6"/>
  <c r="AB47" i="6"/>
  <c r="AB14" i="6"/>
  <c r="AB8" i="6"/>
  <c r="AB35" i="6"/>
  <c r="AB33" i="6"/>
  <c r="AB16" i="6"/>
  <c r="AB37" i="6"/>
  <c r="AB85" i="6"/>
  <c r="AB26" i="6"/>
  <c r="AB5" i="6"/>
  <c r="AB64" i="6"/>
  <c r="AB23" i="6"/>
  <c r="AB10" i="6"/>
  <c r="AB29" i="6"/>
  <c r="AB55" i="6"/>
  <c r="AB52" i="6"/>
  <c r="AB13" i="6"/>
  <c r="AB90" i="6"/>
  <c r="AB12" i="6"/>
  <c r="AB15" i="6"/>
  <c r="AB77" i="6"/>
  <c r="AB9" i="6"/>
  <c r="X75" i="6"/>
  <c r="AB48" i="6"/>
  <c r="X91" i="6"/>
  <c r="X79" i="6"/>
  <c r="X42" i="6"/>
  <c r="X23" i="6"/>
  <c r="X43" i="6"/>
  <c r="X57" i="6"/>
  <c r="X29" i="6"/>
  <c r="X13" i="6"/>
  <c r="AS3" i="7"/>
  <c r="AU3" i="7"/>
  <c r="AZ3" i="7"/>
  <c r="C5" i="7"/>
  <c r="AJ3" i="7"/>
  <c r="C6" i="7"/>
  <c r="C8" i="7"/>
  <c r="AC64" i="6" l="1"/>
  <c r="AC43" i="6"/>
  <c r="AG43" i="6" s="1"/>
  <c r="AC91" i="6"/>
  <c r="AF91" i="6" s="1"/>
  <c r="AC10" i="6"/>
  <c r="AG10" i="6" s="1"/>
  <c r="AC44" i="6"/>
  <c r="AG44" i="6" s="1"/>
  <c r="AC66" i="6"/>
  <c r="AC30" i="6"/>
  <c r="AC55" i="6"/>
  <c r="AC83" i="6"/>
  <c r="AC19" i="6"/>
  <c r="AF19" i="6" s="1"/>
  <c r="AC39" i="6"/>
  <c r="AG39" i="6" s="1"/>
  <c r="AC73" i="6"/>
  <c r="AC65" i="6"/>
  <c r="AC36" i="6"/>
  <c r="AF36" i="6" s="1"/>
  <c r="AC24" i="6"/>
  <c r="AC46" i="6"/>
  <c r="AC74" i="6"/>
  <c r="AF43" i="6"/>
  <c r="AC40" i="6"/>
  <c r="AC60" i="6"/>
  <c r="AG60" i="6" s="1"/>
  <c r="AC5" i="6"/>
  <c r="AG5" i="6" s="1"/>
  <c r="AC61" i="6"/>
  <c r="AG61" i="6" s="1"/>
  <c r="AC89" i="6"/>
  <c r="AC38" i="6"/>
  <c r="AC13" i="6"/>
  <c r="AF13" i="6" s="1"/>
  <c r="AC23" i="6"/>
  <c r="AG23" i="6" s="1"/>
  <c r="AC14" i="6"/>
  <c r="AG14" i="6" s="1"/>
  <c r="AC47" i="6"/>
  <c r="AG47" i="6" s="1"/>
  <c r="AC70" i="6"/>
  <c r="AC72" i="6"/>
  <c r="AC53" i="6"/>
  <c r="AG53" i="6" s="1"/>
  <c r="AC48" i="6"/>
  <c r="AG48" i="6" s="1"/>
  <c r="AC17" i="6"/>
  <c r="AC63" i="6"/>
  <c r="AG63" i="6" s="1"/>
  <c r="AC67" i="6"/>
  <c r="AG67" i="6" s="1"/>
  <c r="AC86" i="6"/>
  <c r="AG86" i="6" s="1"/>
  <c r="AC51" i="6"/>
  <c r="AC28" i="6"/>
  <c r="AG28" i="6" s="1"/>
  <c r="AC56" i="6"/>
  <c r="AG56" i="6" s="1"/>
  <c r="AF66" i="6"/>
  <c r="AC31" i="6"/>
  <c r="AG31" i="6" s="1"/>
  <c r="AF44" i="6"/>
  <c r="AC32" i="6"/>
  <c r="AG32" i="6" s="1"/>
  <c r="AC54" i="6"/>
  <c r="AG54" i="6" s="1"/>
  <c r="AC15" i="6"/>
  <c r="AG15" i="6" s="1"/>
  <c r="AC29" i="6"/>
  <c r="AG29" i="6" s="1"/>
  <c r="AC42" i="6"/>
  <c r="AF55" i="6"/>
  <c r="AF64" i="6"/>
  <c r="AF70" i="6"/>
  <c r="AC26" i="6"/>
  <c r="AG26" i="6" s="1"/>
  <c r="AC50" i="6"/>
  <c r="AG50" i="6" s="1"/>
  <c r="AG55" i="6"/>
  <c r="AG64" i="6"/>
  <c r="AC85" i="6"/>
  <c r="AG85" i="6" s="1"/>
  <c r="AC3" i="6"/>
  <c r="AC11" i="6"/>
  <c r="AC37" i="6"/>
  <c r="AF37" i="6" s="1"/>
  <c r="AC81" i="6"/>
  <c r="AG81" i="6" s="1"/>
  <c r="AC22" i="6"/>
  <c r="AF22" i="6" s="1"/>
  <c r="AC77" i="6"/>
  <c r="AC27" i="6"/>
  <c r="AF27" i="6" s="1"/>
  <c r="AC84" i="6"/>
  <c r="AC52" i="6"/>
  <c r="AG52" i="6" s="1"/>
  <c r="AC2" i="6"/>
  <c r="AC16" i="6"/>
  <c r="AG16" i="6" s="1"/>
  <c r="AC90" i="6"/>
  <c r="AG90" i="6" s="1"/>
  <c r="AC49" i="6"/>
  <c r="AG49" i="6" s="1"/>
  <c r="AC76" i="6"/>
  <c r="AC8" i="6"/>
  <c r="AG8" i="6" s="1"/>
  <c r="AC35" i="6"/>
  <c r="AG35" i="6" s="1"/>
  <c r="AC59" i="6"/>
  <c r="AG59" i="6" s="1"/>
  <c r="AF54" i="6"/>
  <c r="AC20" i="6"/>
  <c r="AG20" i="6" s="1"/>
  <c r="AF28" i="6"/>
  <c r="AF72" i="6"/>
  <c r="AF49" i="6"/>
  <c r="AC7" i="6"/>
  <c r="AC62" i="6"/>
  <c r="AC21" i="6"/>
  <c r="AG22" i="6"/>
  <c r="AG70" i="6"/>
  <c r="AG37" i="6"/>
  <c r="AG13" i="6"/>
  <c r="AC57" i="6"/>
  <c r="AG57" i="6" s="1"/>
  <c r="AC79" i="6"/>
  <c r="AF79" i="6" s="1"/>
  <c r="AC75" i="6"/>
  <c r="AG27" i="6"/>
  <c r="AG36" i="6"/>
  <c r="AF15" i="6"/>
  <c r="AF29" i="6"/>
  <c r="AF5" i="6"/>
  <c r="AF16" i="6"/>
  <c r="AF62" i="6"/>
  <c r="AF31" i="6"/>
  <c r="AC6" i="6"/>
  <c r="AG6" i="6" s="1"/>
  <c r="AC34" i="6"/>
  <c r="AC58" i="6"/>
  <c r="AF67" i="6"/>
  <c r="AF61" i="6"/>
  <c r="AC4" i="6"/>
  <c r="AF4" i="6" s="1"/>
  <c r="AC41" i="6"/>
  <c r="AG41" i="6" s="1"/>
  <c r="AC9" i="6"/>
  <c r="AG9" i="6" s="1"/>
  <c r="AC71" i="6"/>
  <c r="AF71" i="6" s="1"/>
  <c r="AC87" i="6"/>
  <c r="AC25" i="6"/>
  <c r="AG25" i="6" s="1"/>
  <c r="AC88" i="6"/>
  <c r="AG88" i="6" s="1"/>
  <c r="AC12" i="6"/>
  <c r="AF12" i="6" s="1"/>
  <c r="AC45" i="6"/>
  <c r="AG45" i="6" s="1"/>
  <c r="AC68" i="6"/>
  <c r="AC18" i="6"/>
  <c r="AF57" i="6"/>
  <c r="AF32" i="6"/>
  <c r="AF45" i="6"/>
  <c r="AF83" i="6"/>
  <c r="AC82" i="6"/>
  <c r="AF82" i="6" s="1"/>
  <c r="AC69" i="6"/>
  <c r="AC33" i="6"/>
  <c r="AG33" i="6" s="1"/>
  <c r="AC80" i="6"/>
  <c r="AC78" i="6"/>
  <c r="AF78" i="6" s="1"/>
  <c r="AF53" i="6" l="1"/>
  <c r="AF41" i="6"/>
  <c r="AF88" i="6"/>
  <c r="AG4" i="6"/>
  <c r="AG82" i="6"/>
  <c r="AF20" i="6"/>
  <c r="AF35" i="6"/>
  <c r="AF52" i="6"/>
  <c r="AF6" i="6"/>
  <c r="AF25" i="6"/>
  <c r="AF90" i="6"/>
  <c r="AF81" i="6"/>
  <c r="AF63" i="6"/>
  <c r="AG71" i="6"/>
  <c r="AF58" i="6"/>
  <c r="AG58" i="6"/>
  <c r="AG75" i="6"/>
  <c r="AF2" i="6"/>
  <c r="AG2" i="6"/>
  <c r="AG77" i="6"/>
  <c r="AG11" i="6"/>
  <c r="AF11" i="6"/>
  <c r="AF77" i="6"/>
  <c r="AG12" i="6"/>
  <c r="AF51" i="6"/>
  <c r="AG51" i="6"/>
  <c r="AF17" i="6"/>
  <c r="AG17" i="6"/>
  <c r="AF38" i="6"/>
  <c r="AG38" i="6"/>
  <c r="AF24" i="6"/>
  <c r="AG24" i="6"/>
  <c r="AG30" i="6"/>
  <c r="AF30" i="6"/>
  <c r="AF33" i="6"/>
  <c r="AF69" i="6"/>
  <c r="AG69" i="6"/>
  <c r="AF18" i="6"/>
  <c r="AG18" i="6"/>
  <c r="AF34" i="6"/>
  <c r="AG34" i="6"/>
  <c r="AG79" i="6"/>
  <c r="AF21" i="6"/>
  <c r="AG21" i="6"/>
  <c r="AF3" i="6"/>
  <c r="AG3" i="6"/>
  <c r="AF42" i="6"/>
  <c r="AG42" i="6"/>
  <c r="AF59" i="6"/>
  <c r="AF48" i="6"/>
  <c r="AG89" i="6"/>
  <c r="AF89" i="6"/>
  <c r="AF40" i="6"/>
  <c r="AG40" i="6"/>
  <c r="AF26" i="6"/>
  <c r="AG91" i="6"/>
  <c r="AG62" i="6"/>
  <c r="AG84" i="6"/>
  <c r="AG68" i="6"/>
  <c r="AF76" i="6"/>
  <c r="AF50" i="6"/>
  <c r="AF56" i="6"/>
  <c r="AF85" i="6"/>
  <c r="AF9" i="6"/>
  <c r="AF74" i="6"/>
  <c r="AG74" i="6"/>
  <c r="AF65" i="6"/>
  <c r="AG65" i="6"/>
  <c r="AT3" i="7"/>
  <c r="C7" i="7" s="1"/>
  <c r="AG83" i="6"/>
  <c r="AG66" i="6"/>
  <c r="AF10" i="6"/>
  <c r="AG76" i="6"/>
  <c r="AF80" i="6"/>
  <c r="AG80" i="6"/>
  <c r="BA3" i="7"/>
  <c r="C3" i="7"/>
  <c r="AQ3" i="7"/>
  <c r="AF60" i="6"/>
  <c r="AF84" i="6"/>
  <c r="AF87" i="6"/>
  <c r="AG87" i="6"/>
  <c r="AG78" i="6"/>
  <c r="AF14" i="6"/>
  <c r="AG19" i="6"/>
  <c r="AF7" i="6"/>
  <c r="AG7" i="6"/>
  <c r="AF8" i="6"/>
  <c r="AF75" i="6"/>
  <c r="AF39" i="6"/>
  <c r="AF23" i="6"/>
  <c r="AF68" i="6"/>
  <c r="AF86" i="6"/>
  <c r="AF46" i="6"/>
  <c r="AG46" i="6"/>
  <c r="AG73" i="6"/>
  <c r="AF73" i="6"/>
  <c r="AF47" i="6"/>
  <c r="AG72" i="6"/>
  <c r="Z3" i="7" l="1"/>
  <c r="AY3" i="7"/>
  <c r="AV3" i="7"/>
  <c r="AP3" i="7"/>
  <c r="C4" i="7"/>
  <c r="AA3" i="7"/>
  <c r="AB3" i="7" l="1"/>
  <c r="AC20" i="7" l="1" a="1"/>
  <c r="AC20" i="7" s="1"/>
  <c r="AC16" i="7" a="1"/>
  <c r="AC16" i="7" s="1"/>
  <c r="AC12" i="7" a="1"/>
  <c r="AC12" i="7" s="1"/>
  <c r="AC8" i="7" a="1"/>
  <c r="AC8" i="7" s="1"/>
  <c r="AC4" i="7" a="1"/>
  <c r="AC4" i="7" s="1"/>
  <c r="AC18" i="7" a="1"/>
  <c r="AC18" i="7" s="1"/>
  <c r="AC14" i="7" a="1"/>
  <c r="AC14" i="7" s="1"/>
  <c r="AC10" i="7" a="1"/>
  <c r="AC10" i="7" s="1"/>
  <c r="AC6" i="7" a="1"/>
  <c r="AC6" i="7" s="1"/>
  <c r="AC7" i="7" a="1"/>
  <c r="AC7" i="7" s="1"/>
  <c r="AC19" i="7" a="1"/>
  <c r="AC19" i="7" s="1"/>
  <c r="AC15" i="7" a="1"/>
  <c r="AC15" i="7" s="1"/>
  <c r="AC11" i="7" a="1"/>
  <c r="AC11" i="7" s="1"/>
  <c r="AC5" i="7" a="1"/>
  <c r="AC5" i="7" s="1"/>
  <c r="AC17" i="7" a="1"/>
  <c r="AC17" i="7" s="1"/>
  <c r="AC13" i="7" a="1"/>
  <c r="AC13" i="7" s="1"/>
  <c r="AC9" i="7" a="1"/>
  <c r="AC9" i="7" s="1"/>
  <c r="AC3" i="7" a="1"/>
  <c r="AC3" i="7" s="1"/>
  <c r="C10" i="7"/>
  <c r="AD12" i="7" l="1"/>
  <c r="AD3" i="7"/>
  <c r="AD18" i="7"/>
  <c r="AD10" i="7"/>
  <c r="AD16" i="7"/>
  <c r="AD8" i="7"/>
  <c r="AD11" i="7"/>
  <c r="AD5" i="7"/>
  <c r="AD9" i="7"/>
  <c r="AD6" i="7"/>
  <c r="AD14" i="7"/>
  <c r="AD20" i="7"/>
  <c r="AD13" i="7"/>
  <c r="AD4" i="7"/>
  <c r="AD15" i="7"/>
  <c r="AD19" i="7"/>
  <c r="AD17" i="7"/>
  <c r="AD7" i="7"/>
  <c r="C11" i="7" l="1"/>
</calcChain>
</file>

<file path=xl/sharedStrings.xml><?xml version="1.0" encoding="utf-8"?>
<sst xmlns="http://schemas.openxmlformats.org/spreadsheetml/2006/main" count="777" uniqueCount="344">
  <si>
    <t>Pack</t>
  </si>
  <si>
    <t>Difficulty</t>
  </si>
  <si>
    <t>Mode</t>
  </si>
  <si>
    <t>Rating</t>
  </si>
  <si>
    <t>Song</t>
  </si>
  <si>
    <t>BPM</t>
  </si>
  <si>
    <t>Steps</t>
  </si>
  <si>
    <t>Measures</t>
  </si>
  <si>
    <t>Length</t>
  </si>
  <si>
    <t>16ths</t>
  </si>
  <si>
    <t>24ths</t>
  </si>
  <si>
    <t>32nds</t>
  </si>
  <si>
    <t>Break</t>
  </si>
  <si>
    <t>% Stream</t>
  </si>
  <si>
    <t>Adj. % Stream</t>
  </si>
  <si>
    <t>S/B Ratio</t>
  </si>
  <si>
    <t>Density</t>
  </si>
  <si>
    <t>Adj. Density</t>
  </si>
  <si>
    <t>Breakdown</t>
  </si>
  <si>
    <t>Expert</t>
  </si>
  <si>
    <t>Single</t>
  </si>
  <si>
    <t>Betwixt &amp; Between</t>
  </si>
  <si>
    <t>Isolation</t>
  </si>
  <si>
    <t xml:space="preserve">39 7 7 6 (15) 3 (34) 14 32 15 (16) 56 7 </t>
  </si>
  <si>
    <t>Cyber Attack</t>
  </si>
  <si>
    <t xml:space="preserve">1 (4) 7 3 (5) 7 3 (5) 3 3 5 (3) 3 3 5 (3) 7 3 3 7 7 6 (2) 6 (10) 3 3 3 5 (3) 3 3 5 (3) 7 5 (3) 7 7 </t>
  </si>
  <si>
    <t>Mental Meltdown</t>
  </si>
  <si>
    <t>Jimmy Jawns 3</t>
  </si>
  <si>
    <t>Hello Dangdut (Kubus Hardfunk Remix)</t>
  </si>
  <si>
    <t xml:space="preserve">10 15 16 (2) 8 12 (2) 4 (2) 48 8 (2) 4 (2) 48 8 (2) 4 (2) 9 </t>
  </si>
  <si>
    <t>Lifestyles of the Digital</t>
  </si>
  <si>
    <t xml:space="preserve">1 1 1 1 1 1 1 1 48 (8) 32 (8) 16 (16) 32 (16) 32 (16) 62 (11) 29 (4) 24 (16) 116 (2) 1 1 1 1 1 1 1 1 14 (2) 16 (8) 16 (24) 24 (8) 21 (3) 23 (3) 2 (2) 18 (16) 15 (32) 41 (18) 26 (32) 40 (21) 25 (6) 2 (2) 2 (4) 24 (14) 24 (18) 1 1 1 1 1 1 1 1 16 (8) 16 </t>
  </si>
  <si>
    <t>Psychedelia</t>
  </si>
  <si>
    <t>It's Alright</t>
  </si>
  <si>
    <t>Quantum Trip</t>
  </si>
  <si>
    <t xml:space="preserve">15 11 (4) 24 12 (4) 7 7 7 23 8 (8) 8 (2) 8 (6) 39 7 3 11 15 15 15 15 7 7 16 </t>
  </si>
  <si>
    <t>Scrapyard Kent</t>
  </si>
  <si>
    <t>Accidentally Tripping</t>
  </si>
  <si>
    <t xml:space="preserve">20 2 7 7 15 3 11 14 16 9 13 23 28 (4) 7 7 31 3 54 </t>
  </si>
  <si>
    <t>Extraterrestrial Pudding</t>
  </si>
  <si>
    <t xml:space="preserve">47 80 (2) 11 (3) 159 95 127 107 </t>
  </si>
  <si>
    <t>Perfect Happiness</t>
  </si>
  <si>
    <t xml:space="preserve">6 31 15 52 2 (3) 37 38 15 16 15 15 107 </t>
  </si>
  <si>
    <t>Vis Vitalis</t>
  </si>
  <si>
    <t xml:space="preserve">9 (2) 13 (3) 15 (5) 13 (3) 15 27 89 65 56 3 4 121 (5) 5 37 (3) 6 (2) 3 3 50 (7) 12 1 (6) 4 15 (6) 23 </t>
  </si>
  <si>
    <t>White Laguna</t>
  </si>
  <si>
    <t xml:space="preserve">46 264 16 (2) 48 </t>
  </si>
  <si>
    <t>Starfall</t>
  </si>
  <si>
    <t xml:space="preserve">1 7 7 39 8 (16) 15 12 (3) 31 (2) 7 7 12 (4) 63 15 15 15 16 (4) 3 </t>
  </si>
  <si>
    <t>Dino 2.0</t>
  </si>
  <si>
    <t xml:space="preserve">8 (8) 32 24 7 7 8 (8) 15 15 16 7 (2) 1 (5) 32 39 7 31 3 3 3 3 7 8 </t>
  </si>
  <si>
    <t>In Time</t>
  </si>
  <si>
    <t xml:space="preserve">1 (6) 2 (8) 23 6 (2) 39 3 18 (2) 23 6 (2) 15 16 (24) 1 (6) 16 14 (2) 7 7 3 7 (5) 7 30 (2) 6 </t>
  </si>
  <si>
    <t>Screw My Brain</t>
  </si>
  <si>
    <t xml:space="preserve">16 32 (2) 16 (8) 8 7 31 7 32 (3) 31 80 1 19 3 15 16 </t>
  </si>
  <si>
    <t>Solar Storm</t>
  </si>
  <si>
    <t xml:space="preserve">7 39 71 31 24 (3) 12 120 (6) 42 </t>
  </si>
  <si>
    <t>Magical Tank Battle</t>
  </si>
  <si>
    <t>The Apocalypse Sampler</t>
  </si>
  <si>
    <t>The Power Break's Over</t>
  </si>
  <si>
    <t xml:space="preserve">2 (6) 2 (22) 2 (6) 18 (16) 144 (32) 80 </t>
  </si>
  <si>
    <t>Sayonara Planet Wars</t>
  </si>
  <si>
    <t>eat it up, boi!</t>
  </si>
  <si>
    <t xml:space="preserve">8 (2) 31 (2) 63 (2) 71 55 (2) 16 (7) 8 39 20 (11) 1 16 16 </t>
  </si>
  <si>
    <t>Parallax</t>
  </si>
  <si>
    <t xml:space="preserve">15 15 15 15 31 31 76 (4) 111 15 80 (64) 15 79 15 31 (9) 64 </t>
  </si>
  <si>
    <t>Trails of Cold Stream II</t>
  </si>
  <si>
    <t>Chipspeed Allstars</t>
  </si>
  <si>
    <t xml:space="preserve">32 (13) 1 (18) 32 (15) 1 (16) 151 15 11 3 6 (20) 15 64 (3) 1 (7) 1 (2) 1 14 (2) 31 (14) 33 (4) 24 (16) 16 (20) 94 (8) 46 (8) 154 (12) 130 </t>
  </si>
  <si>
    <t>ITGAlex's Stamina Safari</t>
  </si>
  <si>
    <t>Let's madness?</t>
  </si>
  <si>
    <t xml:space="preserve">1 4 (9) 15 (31) 1 34 (37) 1 4 88 (8) 2 </t>
  </si>
  <si>
    <t>goretrance 9 (get happy or get fucked '97)</t>
  </si>
  <si>
    <t>Rebuild of Sharpnel</t>
  </si>
  <si>
    <t>I'm A Maid (C-type Remix)</t>
  </si>
  <si>
    <t>We Want To Run</t>
  </si>
  <si>
    <t xml:space="preserve">15 32 (44) 4 (2) 71 </t>
  </si>
  <si>
    <t>Astral Reaper</t>
  </si>
  <si>
    <t>Ragnarok</t>
  </si>
  <si>
    <t xml:space="preserve">1 1 1 (12) 12 2 7 8 14 (25) 3 25 1 3 (26) 1 1 1 (12) 3 28 1 1 6 4 1 (2) 3 7 7 </t>
  </si>
  <si>
    <t>Along A New Path</t>
  </si>
  <si>
    <t>Trails of Cold Stream SC (Part 5)</t>
  </si>
  <si>
    <t xml:space="preserve">166 (10) 71 (5) 62 (2) 39 13 4 (11) 29 (16) 14 (33) 7 </t>
  </si>
  <si>
    <t xml:space="preserve">15 15 (17) 15 15 (5) 1 (32) 35 (2) 2 (9) 15 </t>
  </si>
  <si>
    <t xml:space="preserve">15 (8) 8 (18) 8 (13) 6 (13) 1 (2) 1 31 15 16 (2) 15 1 33 </t>
  </si>
  <si>
    <t>Mental Spectrum Hacker</t>
  </si>
  <si>
    <t xml:space="preserve">40 (4) 15 15 15 15 30 (2) 15 (25) 7 (5) 1 (2) 1 1 (6) 15 16 (10) 124 </t>
  </si>
  <si>
    <t>Cirque du Enzo</t>
  </si>
  <si>
    <t>Longinus</t>
  </si>
  <si>
    <t xml:space="preserve">1 53 (9) 1 (3) 1 1 (3) 1 (3) 34 (2) 1 (2) 7 27 (2) 20 (3) 5 44 </t>
  </si>
  <si>
    <t>The Bell</t>
  </si>
  <si>
    <t xml:space="preserve">72 (4) 164 (2) 77 (4) 1 (3) 1 (3) 53 </t>
  </si>
  <si>
    <t>Trails of Cold Stream FC (Part 1)</t>
  </si>
  <si>
    <t xml:space="preserve">47 103 39 39 162 39 15 16 (2) 28 </t>
  </si>
  <si>
    <t>The Lightning Sword</t>
  </si>
  <si>
    <t xml:space="preserve">7 15 (8) 1 (7) 1 (3) 1 (2) 1 31 1 1 11 (8) 1 (4) 4 (2) 1 5 1 4 (7) 1 (6) 9 (2) 32 </t>
  </si>
  <si>
    <t>Valestein Castle</t>
  </si>
  <si>
    <t>Sincuvate Mix</t>
  </si>
  <si>
    <t>Cyber Spell</t>
  </si>
  <si>
    <t xml:space="preserve">15 79 47 15 15 32 </t>
  </si>
  <si>
    <t>Zap Your Channel</t>
  </si>
  <si>
    <t xml:space="preserve">7 7 (9) 7 7 7 8 (4) 7 7 (25) 15 7 (2) 7 7 7 7 </t>
  </si>
  <si>
    <t>Little Lies</t>
  </si>
  <si>
    <t xml:space="preserve">17 7 6 (2) 23 (7) 2 (28) 3 27 10 (6) 28 (26) 4 (2) 23 6 (2) 7 6 </t>
  </si>
  <si>
    <t>Cold Breath</t>
  </si>
  <si>
    <t xml:space="preserve">32 (16) 66 (40) 64 </t>
  </si>
  <si>
    <t>The Game</t>
  </si>
  <si>
    <t>Stamina Selects</t>
  </si>
  <si>
    <t>Spacetime</t>
  </si>
  <si>
    <t>Shakunetsu Candle Master Tomosy</t>
  </si>
  <si>
    <t>French Coast Stamina 3</t>
  </si>
  <si>
    <t>I Can See The Lights</t>
  </si>
  <si>
    <t>A Bright Future</t>
  </si>
  <si>
    <t>Everlasting</t>
  </si>
  <si>
    <t>ECS Hat</t>
  </si>
  <si>
    <t>Champion Belt</t>
  </si>
  <si>
    <t>Relic</t>
  </si>
  <si>
    <t>Slime Badge</t>
  </si>
  <si>
    <t>Mythril Trophy</t>
  </si>
  <si>
    <t>Oghma Infinium</t>
  </si>
  <si>
    <t>Order of Ambrosia</t>
  </si>
  <si>
    <t>Sword, Made of Steel</t>
  </si>
  <si>
    <t>Pendulum Blade</t>
  </si>
  <si>
    <t>Baguette</t>
  </si>
  <si>
    <t>Astral Ring</t>
  </si>
  <si>
    <t>Protect Ring</t>
  </si>
  <si>
    <t>Vampire Killer</t>
  </si>
  <si>
    <t>Pandemonium</t>
  </si>
  <si>
    <t>Sphere Soleil</t>
  </si>
  <si>
    <t>Mandau</t>
  </si>
  <si>
    <t>Excalibur</t>
  </si>
  <si>
    <t>Rainbow</t>
  </si>
  <si>
    <t>Muramasa</t>
  </si>
  <si>
    <t>Masamune</t>
  </si>
  <si>
    <t>Mace of Zeus</t>
  </si>
  <si>
    <t>Crissaegrim</t>
  </si>
  <si>
    <t>Armajejjon</t>
  </si>
  <si>
    <t>Effect</t>
  </si>
  <si>
    <t xml:space="preserve">Fail Off </t>
  </si>
  <si>
    <t>Charges</t>
  </si>
  <si>
    <t>WayOffs/Decents Off</t>
  </si>
  <si>
    <t>Ultima Weapon</t>
  </si>
  <si>
    <t>AP</t>
  </si>
  <si>
    <t>DP</t>
  </si>
  <si>
    <t>EP</t>
  </si>
  <si>
    <t>Total</t>
  </si>
  <si>
    <t>BPM Rank</t>
  </si>
  <si>
    <t>Tier</t>
  </si>
  <si>
    <t>Fast Animu Music</t>
  </si>
  <si>
    <t>FASTER Animu Music</t>
  </si>
  <si>
    <t>FASTEST ANIMU MUSIC</t>
  </si>
  <si>
    <t>Dernier Voyage</t>
  </si>
  <si>
    <t>The Message</t>
  </si>
  <si>
    <t>Boogie Woogie Splatter Show</t>
  </si>
  <si>
    <t>Tachyon Beam Cannon</t>
  </si>
  <si>
    <t>Score</t>
  </si>
  <si>
    <t>Diff Rating</t>
  </si>
  <si>
    <t>BP</t>
  </si>
  <si>
    <t>16ths Mod</t>
  </si>
  <si>
    <t>16ths Rank</t>
  </si>
  <si>
    <t>Total (no bonuses)</t>
  </si>
  <si>
    <t>Dragonforce SSJ2</t>
  </si>
  <si>
    <t>ID</t>
  </si>
  <si>
    <t>Relic 2</t>
  </si>
  <si>
    <t>Relic 1</t>
  </si>
  <si>
    <t>Cancels someone else's relic on one song</t>
  </si>
  <si>
    <t>RP</t>
  </si>
  <si>
    <t>Just Chill</t>
  </si>
  <si>
    <t>Allows user to equip an additional two relics</t>
  </si>
  <si>
    <t>--</t>
  </si>
  <si>
    <t>100 BP, allows user to equip one additional relic</t>
  </si>
  <si>
    <t>100 BP</t>
  </si>
  <si>
    <t>60 seconds added to break timer</t>
  </si>
  <si>
    <t>Relic 3</t>
  </si>
  <si>
    <t>Relic 4</t>
  </si>
  <si>
    <t>Time</t>
  </si>
  <si>
    <t>Awesome Powers</t>
  </si>
  <si>
    <t>Point Rank</t>
  </si>
  <si>
    <t>Relic 5</t>
  </si>
  <si>
    <t>KEEP BLANK</t>
  </si>
  <si>
    <t>White Hair Little Swords Girl</t>
  </si>
  <si>
    <t>Unknown Depths</t>
  </si>
  <si>
    <t>100 BP on 230-tier songs, 18% of song length added to break timer</t>
  </si>
  <si>
    <t>600 BP, subtracts 30 seconds from break timer</t>
  </si>
  <si>
    <t>100 BP on 180-tier songs, Lv. 1 AP bonus</t>
  </si>
  <si>
    <t>100 BP on 210-tier songs, Lv. 4 EP bonus</t>
  </si>
  <si>
    <t>100 BP on 170-tier songs, Lv. 2 EP bonus</t>
  </si>
  <si>
    <t>100 BP on 190-tier songs, Lv. 2 DP bonus</t>
  </si>
  <si>
    <t>100 BP on 200-tier songs, Lv. 3 AP bonus</t>
  </si>
  <si>
    <t>100 BP on 220-tier songs, Lv. 3 DP/EP/AP/RP bonus</t>
  </si>
  <si>
    <t>100 BP on 260-tier songs, Lv. 4 DP bonus</t>
  </si>
  <si>
    <t>100 BP on 240-tier songs, Lv. 4 DP/EP bonus</t>
  </si>
  <si>
    <t>Erosion of Madness</t>
  </si>
  <si>
    <t>Blue Crew</t>
  </si>
  <si>
    <t>Happy Satanic Symbols</t>
  </si>
  <si>
    <t>Not The Fastest Shit I Made</t>
  </si>
  <si>
    <t>The Galaxy Being VIP</t>
  </si>
  <si>
    <t>Anhedonia</t>
  </si>
  <si>
    <t>Ramia</t>
  </si>
  <si>
    <t>Fuck DJ</t>
  </si>
  <si>
    <t>Psychedelinger 2</t>
  </si>
  <si>
    <t>Yin Yang</t>
  </si>
  <si>
    <t>The Angel's Message</t>
  </si>
  <si>
    <t>Burn this moment into the retina of my eye</t>
  </si>
  <si>
    <t>Macrodose</t>
  </si>
  <si>
    <t>The Strongest Foe</t>
  </si>
  <si>
    <t>Houkago Stride</t>
  </si>
  <si>
    <t>Ra'am</t>
  </si>
  <si>
    <t>Be Careful</t>
  </si>
  <si>
    <t>woooah?</t>
  </si>
  <si>
    <t>Hesperides</t>
  </si>
  <si>
    <t>Psychedelia II</t>
  </si>
  <si>
    <t xml:space="preserve">528 </t>
  </si>
  <si>
    <t xml:space="preserve">4 (20) 35 12 (5) 3 (8) 7 15 7 4 (8) 8 25 13 15 80 (4) 15 47 31 31 23 7 7 6 (2) 15 14 (2) 16 (2) 2 1 (2) 2 (2) 3 8 1 (2) 11 15 15 15 15 (17) 14 (2) 15 7 7 (9) 6 (2) 6 (6) 2 (3) 5 (22) 19 15 7 45 (3) 15 32 (12) 2 (2) 7 30 (6) 15 48 </t>
  </si>
  <si>
    <t xml:space="preserve">40 (24) 10 (16) 14 (2) 32 </t>
  </si>
  <si>
    <t xml:space="preserve">7 32 (11) 8 32 (11) 1 (16) 20 (6) 7 32 25 (2) 9 56 (8) 7 7 15 15 7 8 (2) 31 15 7 7 7 8 (2) 14 (2) 30 (2) 15 15 14 (2) 15 (7) 1 30 (2) 15 15 11 (12) 47 (8) 1 (2) 32 (2) 47 (8) 1 (2) 48 32 (23) 72 (4) 64 </t>
  </si>
  <si>
    <t>Patchys Treasure Chest</t>
  </si>
  <si>
    <t xml:space="preserve">14 (2) 95 32 (18) 31 (5) 3 15 7 (25) 24 (16) 120 (8) 28 (4) 64 (16) 16 (9) 1 (3) 1 (2) 70 (2) 64 (28) 67 (49) 47 (49) 64 (3) 2 9 (17) 27 34 32 </t>
  </si>
  <si>
    <t xml:space="preserve">47 (17) 1 7 21 (17) 34 (11) 51 1 (31) 42 (3) 1 </t>
  </si>
  <si>
    <t xml:space="preserve">136 (39) 31 (2) 31 15 1 1 1 8 (2) 32 (7) 17 </t>
  </si>
  <si>
    <t xml:space="preserve">1 (10) 8 (23) 33 (6) 1 (24) 1 (6) 2 (8) 48 (16) 16 </t>
  </si>
  <si>
    <t>Jimmy Jawns 4</t>
  </si>
  <si>
    <t>Trails of Cold Stream III</t>
  </si>
  <si>
    <t xml:space="preserve">6 (2) 31 (12) 7 (2) 31 (28) 20 (3) 31 </t>
  </si>
  <si>
    <t>Beyond Our Star System</t>
  </si>
  <si>
    <t xml:space="preserve">39 16 (31) 36 (69) 56 (8) 68 </t>
  </si>
  <si>
    <t xml:space="preserve">/160/ </t>
  </si>
  <si>
    <t xml:space="preserve">7 7 7 7 4 (28) 7 46 (2) 39 7 4 </t>
  </si>
  <si>
    <t>Stamina Showcase 2</t>
  </si>
  <si>
    <t xml:space="preserve">2 (5) 7 (2) 7 (16) 31 48 (8) 40 (2) 32 (32) 64 (9) 2 (5) 7 (2) 7 </t>
  </si>
  <si>
    <t>Crossing Rage!</t>
  </si>
  <si>
    <t xml:space="preserve">8 (3) 7 23 15 7 24 (24) 7 15 7 7 7 8 (3) 1 (4) 8 </t>
  </si>
  <si>
    <t xml:space="preserve">134 1 (16) 1 3 1 26 (4) 356 </t>
  </si>
  <si>
    <t>do i smile?</t>
  </si>
  <si>
    <t xml:space="preserve">15 15 (33) 15 15 (17) 15 15 </t>
  </si>
  <si>
    <t xml:space="preserve">161 </t>
  </si>
  <si>
    <t xml:space="preserve">73 96 14 (22) 14 (2) 46 (2) 15 (2) 137 (2) 52 </t>
  </si>
  <si>
    <t xml:space="preserve">14 (2) 16 (12) 19 96 72 (15) 2 (22) 18 (2) 127 32 47 16 </t>
  </si>
  <si>
    <t xml:space="preserve">24 (12) 4 32 (2) 20 (4) 1 3 107 (6) 19 (11) 1 (5) 1 (3) 32 14 7 (19) 6 (2) 39 42 (11) 73 (50) 23 (4) 41 </t>
  </si>
  <si>
    <t>For the End of Set</t>
  </si>
  <si>
    <t xml:space="preserve">16 (8) 23 23 8 (16) 63 15 16 (8) 24 </t>
  </si>
  <si>
    <t>Glad you're back</t>
  </si>
  <si>
    <t xml:space="preserve">15 14 (2) 31 64 (4) 27 76 </t>
  </si>
  <si>
    <t xml:space="preserve">147 15 32 15 72 73 1 63 48 117 15 23 23 8 (4) 3 80 (4) 3 34 (8) 7 96 112 64 </t>
  </si>
  <si>
    <t xml:space="preserve">55 127 144 </t>
  </si>
  <si>
    <t xml:space="preserve">10 16 (6) 61 (2) 1 (7) 2 (12) 24 (14) 14 (5) 28 (2) 3 </t>
  </si>
  <si>
    <t xml:space="preserve">56 (8) 7 20 (6) 4 (4) 4 (8) 7 20 (2) 40 1 1 </t>
  </si>
  <si>
    <t xml:space="preserve">39 23 14 (2) 14 (2) 47 7 7 79 4 (4) 7 30 (2) 7 </t>
  </si>
  <si>
    <t xml:space="preserve">19 15 11 (5) 15 (5) 16 (6) 9 (5) 7 (11) 7 8 1 5 3 1 1 1 (3) 3 7 (5) 5 (3) 7 (7) 1 13 (3) 13 (4) 2 3 (2) 2 (3) 9 (2) 2 (2) 1 15 1 5 1 1 8 (4) 16 (2) 14 </t>
  </si>
  <si>
    <t>Life is a Beach</t>
  </si>
  <si>
    <t xml:space="preserve">16 16 13 (2) 39 7 31 15 15 4 (4) 4 (4) 7 7 7 15 7 100 </t>
  </si>
  <si>
    <t xml:space="preserve">7 7 3 26 24 10 19 7 21 4 (3) 1 (15) 7 31 19 5 1 19 3 15 23 20 (2) 19 2 2 (2) 2 4 </t>
  </si>
  <si>
    <t xml:space="preserve">31 (8) 38 (2) 57 (19) 30 (2) 47 (19) 86 7 (2) 12 32 (8) 174 (10) 14 </t>
  </si>
  <si>
    <t xml:space="preserve">23 30 (2) 7 15 1 5 23 47 23 7 15 39 9 14 (8) 63 7 27 3 7 7 16 </t>
  </si>
  <si>
    <t>Mirrors of Fate</t>
  </si>
  <si>
    <t xml:space="preserve">7 7 15 15 23 7 15 7 23 19 11 3 7 35 (3) 15 15 7 7 7 15 7 7 7 7 7 7 15 7 7 8 </t>
  </si>
  <si>
    <t xml:space="preserve">4 (20) 35 12 (5) 3 (8) 7 15 7 4 (4) 12 25 13 15 23 32 </t>
  </si>
  <si>
    <t xml:space="preserve">8 (8) 7 15 8 (8) 7 15 (25) 16 (4) 7 (17) 3 27 </t>
  </si>
  <si>
    <t xml:space="preserve">7 7 7 15 (9) 9 (4) 7 9 (13) 7 7 7 (9) 7 15 (6) 1 (3) 10 (2) 7 12 </t>
  </si>
  <si>
    <t>Radiation 238</t>
  </si>
  <si>
    <t xml:space="preserve">24 (2) 7 7 15 7 40 (16) 15 16 (2) 47 31 63 16 </t>
  </si>
  <si>
    <t xml:space="preserve">48 15 (2) 48 16 (2) 24 (4) 4 (28) 5 64 </t>
  </si>
  <si>
    <t>Trails of Cold Stream IV</t>
  </si>
  <si>
    <t>Release of the Far West Ocean (jdk Band Spring 2008)</t>
  </si>
  <si>
    <t xml:space="preserve">9 (18) 18 (16) 28 (7) 17 (16) 18 (16) 48 </t>
  </si>
  <si>
    <t>Confetto</t>
  </si>
  <si>
    <t xml:space="preserve">13 (2) 7 10 (2) 2 (12) 8 (4) 10 (16) 13 (10) 7 10 (2) 2 (14) 7 (5) 10 (17) 8 (15) 9 (15) 13 </t>
  </si>
  <si>
    <t xml:space="preserve">25 24 12 12 16 16 (4) 38 (2) 21 21 (8) 15 13 16 (13) 13 13 32 (16) 15 16 (19) 1 (6) 24 </t>
  </si>
  <si>
    <t>Sinisterrrrrrrr</t>
  </si>
  <si>
    <t xml:space="preserve">14 (2) 14 (2) 14 (2) 14 (18) 14 (2) 14 (2) 14 </t>
  </si>
  <si>
    <t>Souvenirs Du Futur</t>
  </si>
  <si>
    <t xml:space="preserve">67 (49) 47 </t>
  </si>
  <si>
    <t xml:space="preserve">32 (8) 36 (27) 39 (2) 56 (8) 8 </t>
  </si>
  <si>
    <t xml:space="preserve">7 15 31 7 7 8 3 2 4 42 31 8 (8) 15 15 28 2 28 </t>
  </si>
  <si>
    <t xml:space="preserve">7 4 (4) 104 (32) 80 (11) 4 </t>
  </si>
  <si>
    <t xml:space="preserve">15 4 (4) 4 (4) 16 (6) 34 (72) 4 (4) 4 (4) 16 (2) 38 (5) 3 (4) 2 (2) 16 </t>
  </si>
  <si>
    <t xml:space="preserve">1 (3) 30 (2) 15 14 (18) 14 (2) 14 (2) 7 7 (13) 1 (3) 80 (2) 15 14 (2) 80 (16) 15 96 (12) 3 7 24 (4) 3 7 7 14 (2) 3 3 3 11 7 30 (2) 7 6 (2) 14 (2) 64 (24) 70 (2) 32 15 (8) 7 31 15 59 3 39 14 (2) 14 (2) 12 (2) 1 14 (2) 14 (2) 7 14 (2) 15 30 (2) 15 31 64 (3) 1 (2) 30 (2) 15 80 87 80 (32) 15 16 (12) 3 32 </t>
  </si>
  <si>
    <t xml:space="preserve">3 (5) 1 (3) 13 (15) 1 (3) 4 8 (3) 75 (7) 10 (3) 73 17 (16) 38 </t>
  </si>
  <si>
    <t>VIRGIN CODE</t>
  </si>
  <si>
    <t xml:space="preserve">1 (3) 1 (9) 1 (4) 7 8 (3) 18 16 (3) 4 (6) 16 (4) 6 7 (4) 6 (2) 11 16 (2) 7 16 (2) 15 8 (16) 5 (3) 7 16 (3) 1 </t>
  </si>
  <si>
    <t xml:space="preserve">32 (8) 8 (34) 2 (2) 1 (3) 2 (2) 1 79 32 (16) 48 </t>
  </si>
  <si>
    <t xml:space="preserve">6 (18) 44 (4) 15 (34) 47 (2) 15 </t>
  </si>
  <si>
    <t xml:space="preserve">37 29 7 19 55 15 187 </t>
  </si>
  <si>
    <t>BaguetteStreamz 2</t>
  </si>
  <si>
    <t>JayRocking</t>
  </si>
  <si>
    <t>60 BP for each song in set with the same speed tier as selected song</t>
  </si>
  <si>
    <t>BangerZ 2</t>
  </si>
  <si>
    <t xml:space="preserve">30 1 (7) 7 (2) 15 16 1 (8) 7 16 (15) 31 1 1 (2) 24 </t>
  </si>
  <si>
    <t xml:space="preserve">17 15 15 16 (37) 18 15 15 15 </t>
  </si>
  <si>
    <t xml:space="preserve">63 (25) 106 </t>
  </si>
  <si>
    <t>Totals</t>
  </si>
  <si>
    <t>Unbounded Points</t>
  </si>
  <si>
    <t>Bounded Points</t>
  </si>
  <si>
    <t>50 BP, Lv. 1 RP bonus after 5 PM</t>
  </si>
  <si>
    <t>Straight Outta the Dishwasher 2</t>
  </si>
  <si>
    <t>Pass?</t>
  </si>
  <si>
    <t>Skills</t>
  </si>
  <si>
    <t>Total (no bp, pass)</t>
  </si>
  <si>
    <t>Total (no bp, fail)</t>
  </si>
  <si>
    <t>Sub-170</t>
  </si>
  <si>
    <t>Total Steps</t>
  </si>
  <si>
    <t>Average BPM</t>
  </si>
  <si>
    <t>Adj.Stream%Scaled</t>
  </si>
  <si>
    <t>Stepartist</t>
  </si>
  <si>
    <t>Zaia</t>
  </si>
  <si>
    <t>ITGAlex</t>
  </si>
  <si>
    <t>StoryTime</t>
  </si>
  <si>
    <t>Arvin</t>
  </si>
  <si>
    <t>Nav</t>
  </si>
  <si>
    <t>@@</t>
  </si>
  <si>
    <t>Rems</t>
  </si>
  <si>
    <t>Okami</t>
  </si>
  <si>
    <t>Aoreo</t>
  </si>
  <si>
    <t>ZoG</t>
  </si>
  <si>
    <t>TYLR &amp; Zaia &amp; Archi</t>
  </si>
  <si>
    <t>Zaia &amp; Aoreo &amp; Archi</t>
  </si>
  <si>
    <t>Nav &amp; Rems &amp; Zaia &amp; @@ &amp; Aoreo</t>
  </si>
  <si>
    <t>Okami &amp; Aoreo &amp; Archi</t>
  </si>
  <si>
    <t>Zaia &amp; @@ &amp; Mad Matt &amp; Archi</t>
  </si>
  <si>
    <t>Rems &amp; ITGAlex</t>
  </si>
  <si>
    <t>Aoreo &amp; @@ &amp; Rems</t>
  </si>
  <si>
    <t>CardboardBox</t>
  </si>
  <si>
    <t>TOTAL STEPS</t>
  </si>
  <si>
    <t>Pack Source</t>
  </si>
  <si>
    <t>Count</t>
  </si>
  <si>
    <t>Step Artist</t>
  </si>
  <si>
    <t>TOTAL LENGTH</t>
  </si>
  <si>
    <t>AVERAGE BPM</t>
  </si>
  <si>
    <t>AVERAGE DIFF</t>
  </si>
  <si>
    <t>DENSITY</t>
  </si>
  <si>
    <t>Archi</t>
  </si>
  <si>
    <t>TYLR</t>
  </si>
  <si>
    <t>Mad Matt</t>
  </si>
  <si>
    <t>Aoreo &amp; Rems</t>
  </si>
  <si>
    <t>Lv. 5 RP bonus, forces Life 5</t>
  </si>
  <si>
    <t>Lv. 5 RP bonus on any French Coast Stamina 2 or 3 songs</t>
  </si>
  <si>
    <t>Total (pre dedupe)</t>
  </si>
  <si>
    <t>Owned?</t>
  </si>
  <si>
    <t>ID comes from 'Songs' tab</t>
  </si>
  <si>
    <t>Use the Relic ID for Relic columns 1-5 (Only JD and Box will ever be able to equip more than two relics at a time though and only because of Champion Belt and Order of Ambrosia)</t>
  </si>
  <si>
    <t>Pass? should be 0 or 1</t>
  </si>
  <si>
    <t>Fill out your Skills based off your ending stats in the qualifier</t>
  </si>
  <si>
    <t>100 BP for each song in set with a different speed tier</t>
  </si>
  <si>
    <t>100 BP on 250-tier songs, Lv. 4 AdjStream bonus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</si>
</sst>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>
    <font>
      <sz val="10"/>
      <name val="Arial"/>
      <family val="2"/>
      <charset val="128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  <charset val="128"/>
    </font>
    <font>
      <b/>
      <sz val="10"/>
      <color rgb="FFFFFFFF"/>
      <name val="Arial"/>
      <family val="2"/>
    </font>
    <font>
      <b/>
      <sz val="10"/>
      <color rgb="FFFA7D00"/>
      <name val="Arial"/>
      <family val="2"/>
    </font>
    <font>
      <sz val="10"/>
      <name val="Arial"/>
    </font>
    <font>
      <b/>
      <sz val="10"/>
      <color rgb="FFFFFFFF"/>
      <name val="Arial"/>
    </font>
    <font>
      <b/>
      <sz val="10"/>
      <name val="Arial"/>
    </font>
    <font>
      <sz val="10"/>
      <name val="Arial"/>
      <family val="2"/>
      <charset val="128"/>
    </font>
  </fonts>
  <fills count="2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A5A5A5"/>
        <bgColor rgb="FFA5A5A5"/>
      </patternFill>
    </fill>
    <fill>
      <patternFill patternType="solid">
        <fgColor rgb="FFF2F2F2"/>
        <bgColor rgb="FFF2F2F2"/>
      </patternFill>
    </fill>
    <fill>
      <patternFill patternType="solid">
        <fgColor rgb="FF31859B"/>
        <bgColor rgb="FF31859B"/>
      </patternFill>
    </fill>
    <fill>
      <patternFill patternType="solid">
        <fgColor rgb="FFE36C09"/>
        <bgColor rgb="FFE36C09"/>
      </patternFill>
    </fill>
    <fill>
      <patternFill patternType="solid">
        <fgColor rgb="FFCFE2F3"/>
        <bgColor rgb="FFCFE2F3"/>
      </patternFill>
    </fill>
    <fill>
      <patternFill patternType="solid">
        <fgColor rgb="FF1E4E79"/>
        <bgColor rgb="FF1E4E79"/>
      </patternFill>
    </fill>
    <fill>
      <patternFill patternType="solid">
        <fgColor rgb="FF000000"/>
        <bgColor rgb="FF000000"/>
      </patternFill>
    </fill>
    <fill>
      <patternFill patternType="solid">
        <fgColor rgb="FFE7E6E6"/>
        <bgColor rgb="FFE7E6E6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97">
    <xf numFmtId="0" fontId="0" fillId="0" borderId="0" xfId="0"/>
    <xf numFmtId="0" fontId="0" fillId="0" borderId="1" xfId="0" applyBorder="1"/>
    <xf numFmtId="0" fontId="0" fillId="0" borderId="2" xfId="0" applyBorder="1"/>
    <xf numFmtId="0" fontId="1" fillId="2" borderId="4" xfId="0" applyFont="1" applyFill="1" applyBorder="1"/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/>
    <xf numFmtId="0" fontId="0" fillId="0" borderId="0" xfId="0" applyAlignment="1">
      <alignment horizontal="center"/>
    </xf>
    <xf numFmtId="0" fontId="0" fillId="4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2" fillId="6" borderId="9" xfId="0" applyFont="1" applyFill="1" applyBorder="1"/>
    <xf numFmtId="0" fontId="2" fillId="6" borderId="11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0" fillId="0" borderId="0" xfId="0" applyBorder="1"/>
    <xf numFmtId="0" fontId="1" fillId="7" borderId="0" xfId="0" applyFont="1" applyFill="1" applyBorder="1"/>
    <xf numFmtId="0" fontId="0" fillId="0" borderId="13" xfId="0" applyBorder="1"/>
    <xf numFmtId="0" fontId="0" fillId="4" borderId="11" xfId="0" applyFill="1" applyBorder="1"/>
    <xf numFmtId="0" fontId="0" fillId="5" borderId="0" xfId="0" applyFill="1" applyBorder="1"/>
    <xf numFmtId="0" fontId="0" fillId="4" borderId="0" xfId="0" applyFill="1" applyBorder="1"/>
    <xf numFmtId="0" fontId="0" fillId="4" borderId="14" xfId="0" applyFill="1" applyBorder="1"/>
    <xf numFmtId="0" fontId="1" fillId="3" borderId="0" xfId="0" applyFont="1" applyFill="1" applyBorder="1"/>
    <xf numFmtId="0" fontId="0" fillId="4" borderId="10" xfId="0" quotePrefix="1" applyFill="1" applyBorder="1" applyAlignment="1">
      <alignment horizontal="center"/>
    </xf>
    <xf numFmtId="0" fontId="0" fillId="5" borderId="10" xfId="0" quotePrefix="1" applyFill="1" applyBorder="1" applyAlignment="1">
      <alignment horizontal="center"/>
    </xf>
    <xf numFmtId="0" fontId="0" fillId="4" borderId="10" xfId="0" quotePrefix="1" applyFill="1" applyBorder="1" applyAlignment="1">
      <alignment horizontal="center" wrapText="1"/>
    </xf>
    <xf numFmtId="0" fontId="0" fillId="4" borderId="15" xfId="0" quotePrefix="1" applyFill="1" applyBorder="1" applyAlignment="1">
      <alignment horizontal="center"/>
    </xf>
    <xf numFmtId="0" fontId="0" fillId="5" borderId="7" xfId="0" quotePrefix="1" applyFill="1" applyBorder="1" applyAlignment="1">
      <alignment horizontal="center"/>
    </xf>
    <xf numFmtId="22" fontId="0" fillId="0" borderId="0" xfId="0" applyNumberFormat="1"/>
    <xf numFmtId="0" fontId="1" fillId="2" borderId="3" xfId="0" applyFont="1" applyFill="1" applyBorder="1" applyAlignment="1">
      <alignment horizontal="center"/>
    </xf>
    <xf numFmtId="0" fontId="0" fillId="4" borderId="7" xfId="0" quotePrefix="1" applyFill="1" applyBorder="1" applyAlignment="1">
      <alignment horizontal="center"/>
    </xf>
    <xf numFmtId="0" fontId="0" fillId="10" borderId="0" xfId="0" applyFill="1" applyBorder="1"/>
    <xf numFmtId="0" fontId="2" fillId="8" borderId="0" xfId="0" applyFont="1" applyFill="1" applyAlignment="1">
      <alignment horizontal="right"/>
    </xf>
    <xf numFmtId="0" fontId="0" fillId="11" borderId="1" xfId="0" applyFill="1" applyBorder="1"/>
    <xf numFmtId="0" fontId="1" fillId="12" borderId="1" xfId="0" applyFont="1" applyFill="1" applyBorder="1"/>
    <xf numFmtId="0" fontId="2" fillId="13" borderId="0" xfId="0" applyFont="1" applyFill="1"/>
    <xf numFmtId="0" fontId="3" fillId="13" borderId="0" xfId="0" applyFont="1" applyFill="1"/>
    <xf numFmtId="0" fontId="0" fillId="0" borderId="16" xfId="0" applyBorder="1"/>
    <xf numFmtId="0" fontId="0" fillId="14" borderId="0" xfId="0" applyFill="1" applyBorder="1"/>
    <xf numFmtId="0" fontId="2" fillId="15" borderId="0" xfId="0" applyFont="1" applyFill="1" applyBorder="1"/>
    <xf numFmtId="0" fontId="0" fillId="14" borderId="17" xfId="0" applyFill="1" applyBorder="1"/>
    <xf numFmtId="0" fontId="0" fillId="0" borderId="18" xfId="0" applyBorder="1"/>
    <xf numFmtId="0" fontId="0" fillId="0" borderId="19" xfId="0" applyBorder="1"/>
    <xf numFmtId="0" fontId="0" fillId="14" borderId="14" xfId="0" applyFill="1" applyBorder="1"/>
    <xf numFmtId="0" fontId="2" fillId="15" borderId="14" xfId="0" applyFont="1" applyFill="1" applyBorder="1"/>
    <xf numFmtId="0" fontId="0" fillId="14" borderId="20" xfId="0" applyFill="1" applyBorder="1"/>
    <xf numFmtId="0" fontId="0" fillId="0" borderId="21" xfId="0" applyBorder="1"/>
    <xf numFmtId="0" fontId="2" fillId="16" borderId="22" xfId="0" applyFont="1" applyFill="1" applyBorder="1"/>
    <xf numFmtId="0" fontId="2" fillId="16" borderId="23" xfId="0" applyFont="1" applyFill="1" applyBorder="1"/>
    <xf numFmtId="0" fontId="2" fillId="17" borderId="24" xfId="0" applyFont="1" applyFill="1" applyBorder="1"/>
    <xf numFmtId="0" fontId="2" fillId="19" borderId="22" xfId="0" applyFont="1" applyFill="1" applyBorder="1"/>
    <xf numFmtId="0" fontId="2" fillId="20" borderId="22" xfId="0" applyFont="1" applyFill="1" applyBorder="1"/>
    <xf numFmtId="0" fontId="2" fillId="3" borderId="22" xfId="0" applyFont="1" applyFill="1" applyBorder="1"/>
    <xf numFmtId="0" fontId="0" fillId="14" borderId="9" xfId="0" applyFill="1" applyBorder="1"/>
    <xf numFmtId="0" fontId="0" fillId="14" borderId="11" xfId="0" applyFill="1" applyBorder="1"/>
    <xf numFmtId="0" fontId="0" fillId="14" borderId="12" xfId="0" applyFill="1" applyBorder="1"/>
    <xf numFmtId="0" fontId="0" fillId="14" borderId="10" xfId="0" applyFill="1" applyBorder="1"/>
    <xf numFmtId="0" fontId="0" fillId="14" borderId="15" xfId="0" applyFill="1" applyBorder="1"/>
    <xf numFmtId="0" fontId="1" fillId="2" borderId="27" xfId="0" applyFont="1" applyFill="1" applyBorder="1" applyAlignment="1">
      <alignment horizontal="center"/>
    </xf>
    <xf numFmtId="0" fontId="0" fillId="0" borderId="0" xfId="0" quotePrefix="1" applyAlignment="1">
      <alignment horizontal="center"/>
    </xf>
    <xf numFmtId="0" fontId="4" fillId="21" borderId="26" xfId="0" applyFont="1" applyFill="1" applyBorder="1" applyAlignment="1">
      <alignment horizontal="right"/>
    </xf>
    <xf numFmtId="0" fontId="5" fillId="22" borderId="25" xfId="0" applyFont="1" applyFill="1" applyBorder="1"/>
    <xf numFmtId="0" fontId="0" fillId="0" borderId="0" xfId="0" applyFont="1"/>
    <xf numFmtId="0" fontId="4" fillId="23" borderId="28" xfId="0" applyFont="1" applyFill="1" applyBorder="1"/>
    <xf numFmtId="0" fontId="4" fillId="23" borderId="29" xfId="0" applyFont="1" applyFill="1" applyBorder="1" applyAlignment="1">
      <alignment horizontal="center"/>
    </xf>
    <xf numFmtId="0" fontId="0" fillId="0" borderId="0" xfId="0" applyFont="1" applyAlignment="1"/>
    <xf numFmtId="0" fontId="4" fillId="24" borderId="28" xfId="0" applyFont="1" applyFill="1" applyBorder="1"/>
    <xf numFmtId="0" fontId="4" fillId="24" borderId="29" xfId="0" applyFont="1" applyFill="1" applyBorder="1" applyAlignment="1">
      <alignment horizontal="center"/>
    </xf>
    <xf numFmtId="0" fontId="0" fillId="0" borderId="30" xfId="0" applyFont="1" applyBorder="1"/>
    <xf numFmtId="0" fontId="0" fillId="0" borderId="31" xfId="0" applyFont="1" applyBorder="1" applyAlignment="1">
      <alignment horizontal="center"/>
    </xf>
    <xf numFmtId="0" fontId="0" fillId="0" borderId="16" xfId="0" applyFont="1" applyBorder="1"/>
    <xf numFmtId="0" fontId="0" fillId="0" borderId="32" xfId="0" applyFont="1" applyBorder="1" applyAlignment="1">
      <alignment horizontal="center"/>
    </xf>
    <xf numFmtId="164" fontId="5" fillId="22" borderId="25" xfId="0" applyNumberFormat="1" applyFont="1" applyFill="1" applyBorder="1"/>
    <xf numFmtId="2" fontId="5" fillId="22" borderId="25" xfId="0" applyNumberFormat="1" applyFont="1" applyFill="1" applyBorder="1"/>
    <xf numFmtId="0" fontId="0" fillId="0" borderId="18" xfId="0" applyFont="1" applyBorder="1"/>
    <xf numFmtId="0" fontId="0" fillId="0" borderId="33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8" borderId="0" xfId="0" applyFont="1" applyFill="1" applyBorder="1"/>
    <xf numFmtId="0" fontId="2" fillId="8" borderId="14" xfId="0" applyFont="1" applyFill="1" applyBorder="1"/>
    <xf numFmtId="0" fontId="2" fillId="8" borderId="9" xfId="0" applyFont="1" applyFill="1" applyBorder="1"/>
    <xf numFmtId="0" fontId="1" fillId="9" borderId="34" xfId="0" applyFont="1" applyFill="1" applyBorder="1"/>
    <xf numFmtId="0" fontId="1" fillId="9" borderId="35" xfId="0" applyFont="1" applyFill="1" applyBorder="1"/>
    <xf numFmtId="0" fontId="1" fillId="9" borderId="36" xfId="0" applyFont="1" applyFill="1" applyBorder="1"/>
    <xf numFmtId="0" fontId="6" fillId="25" borderId="0" xfId="0" applyFont="1" applyFill="1" applyAlignment="1">
      <alignment horizontal="right"/>
    </xf>
    <xf numFmtId="0" fontId="7" fillId="26" borderId="0" xfId="0" applyFont="1" applyFill="1" applyBorder="1" applyAlignment="1">
      <alignment horizontal="right"/>
    </xf>
    <xf numFmtId="0" fontId="6" fillId="0" borderId="37" xfId="0" applyFont="1" applyBorder="1"/>
    <xf numFmtId="0" fontId="7" fillId="27" borderId="0" xfId="0" applyFont="1" applyFill="1" applyBorder="1" applyAlignment="1">
      <alignment horizontal="right"/>
    </xf>
    <xf numFmtId="0" fontId="6" fillId="28" borderId="37" xfId="0" applyFont="1" applyFill="1" applyBorder="1" applyAlignment="1"/>
    <xf numFmtId="0" fontId="8" fillId="0" borderId="0" xfId="0" applyFont="1" applyAlignment="1"/>
    <xf numFmtId="10" fontId="0" fillId="0" borderId="0" xfId="1" applyNumberFormat="1" applyFont="1"/>
    <xf numFmtId="10" fontId="2" fillId="18" borderId="22" xfId="1" applyNumberFormat="1" applyFont="1" applyFill="1" applyBorder="1"/>
    <xf numFmtId="10" fontId="0" fillId="0" borderId="2" xfId="1" applyNumberFormat="1" applyFont="1" applyBorder="1"/>
    <xf numFmtId="10" fontId="0" fillId="0" borderId="1" xfId="1" applyNumberFormat="1" applyFont="1" applyBorder="1"/>
    <xf numFmtId="10" fontId="0" fillId="0" borderId="19" xfId="1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7"/>
  <sheetViews>
    <sheetView zoomScaleNormal="100" workbookViewId="0">
      <selection activeCell="D34" sqref="D34"/>
    </sheetView>
  </sheetViews>
  <sheetFormatPr defaultRowHeight="12.75"/>
  <cols>
    <col min="3" max="3" width="20.42578125" customWidth="1"/>
    <col min="4" max="4" width="74.140625" style="6" customWidth="1"/>
    <col min="5" max="5" width="16" style="6" customWidth="1"/>
    <col min="6" max="6" width="14.42578125" bestFit="1" customWidth="1"/>
    <col min="8" max="8" width="11.28515625" customWidth="1"/>
    <col min="9" max="9" width="13.42578125" customWidth="1"/>
    <col min="10" max="10" width="15" customWidth="1"/>
    <col min="11" max="11" width="13" customWidth="1"/>
  </cols>
  <sheetData>
    <row r="1" spans="2:5" ht="13.5" thickBot="1">
      <c r="B1" s="82" t="s">
        <v>162</v>
      </c>
      <c r="C1" s="14" t="s">
        <v>116</v>
      </c>
      <c r="D1" s="15" t="s">
        <v>137</v>
      </c>
      <c r="E1" s="16" t="s">
        <v>139</v>
      </c>
    </row>
    <row r="2" spans="2:5">
      <c r="B2" s="83">
        <v>1</v>
      </c>
      <c r="C2" s="20" t="s">
        <v>117</v>
      </c>
      <c r="D2" s="11" t="s">
        <v>342</v>
      </c>
      <c r="E2" s="7">
        <v>1</v>
      </c>
    </row>
    <row r="3" spans="2:5">
      <c r="B3" s="84">
        <v>2</v>
      </c>
      <c r="C3" s="21" t="s">
        <v>114</v>
      </c>
      <c r="D3" s="12" t="s">
        <v>285</v>
      </c>
      <c r="E3" s="8">
        <v>1</v>
      </c>
    </row>
    <row r="4" spans="2:5">
      <c r="B4" s="84">
        <v>3</v>
      </c>
      <c r="C4" s="22" t="s">
        <v>115</v>
      </c>
      <c r="D4" s="13" t="s">
        <v>170</v>
      </c>
      <c r="E4" s="9">
        <v>1</v>
      </c>
    </row>
    <row r="5" spans="2:5">
      <c r="B5" s="84">
        <v>4</v>
      </c>
      <c r="C5" s="21" t="s">
        <v>126</v>
      </c>
      <c r="D5" s="12" t="s">
        <v>293</v>
      </c>
      <c r="E5" s="29" t="s">
        <v>169</v>
      </c>
    </row>
    <row r="6" spans="2:5">
      <c r="B6" s="84">
        <v>5</v>
      </c>
      <c r="C6" s="22" t="s">
        <v>128</v>
      </c>
      <c r="D6" s="25" t="s">
        <v>184</v>
      </c>
      <c r="E6" s="9" t="s">
        <v>169</v>
      </c>
    </row>
    <row r="7" spans="2:5">
      <c r="B7" s="84">
        <v>6</v>
      </c>
      <c r="C7" s="21" t="s">
        <v>118</v>
      </c>
      <c r="D7" s="12" t="s">
        <v>172</v>
      </c>
      <c r="E7" s="8">
        <v>3</v>
      </c>
    </row>
    <row r="8" spans="2:5">
      <c r="B8" s="84">
        <v>7</v>
      </c>
      <c r="C8" s="22" t="s">
        <v>121</v>
      </c>
      <c r="D8" s="13" t="s">
        <v>171</v>
      </c>
      <c r="E8" s="9" t="s">
        <v>169</v>
      </c>
    </row>
    <row r="9" spans="2:5">
      <c r="B9" s="84">
        <v>8</v>
      </c>
      <c r="C9" s="21" t="s">
        <v>124</v>
      </c>
      <c r="D9" s="12" t="s">
        <v>140</v>
      </c>
      <c r="E9" s="8">
        <v>1</v>
      </c>
    </row>
    <row r="10" spans="2:5">
      <c r="B10" s="84">
        <v>9</v>
      </c>
      <c r="C10" s="22" t="s">
        <v>122</v>
      </c>
      <c r="D10" s="25" t="s">
        <v>334</v>
      </c>
      <c r="E10" s="9" t="s">
        <v>169</v>
      </c>
    </row>
    <row r="11" spans="2:5">
      <c r="B11" s="84">
        <v>10</v>
      </c>
      <c r="C11" s="21" t="s">
        <v>127</v>
      </c>
      <c r="D11" s="12" t="s">
        <v>186</v>
      </c>
      <c r="E11" s="29" t="s">
        <v>169</v>
      </c>
    </row>
    <row r="12" spans="2:5">
      <c r="B12" s="84">
        <v>11</v>
      </c>
      <c r="C12" s="22" t="s">
        <v>129</v>
      </c>
      <c r="D12" s="25" t="s">
        <v>187</v>
      </c>
      <c r="E12" s="9" t="s">
        <v>169</v>
      </c>
    </row>
    <row r="13" spans="2:5">
      <c r="B13" s="84">
        <v>12</v>
      </c>
      <c r="C13" s="21" t="s">
        <v>119</v>
      </c>
      <c r="D13" s="12" t="s">
        <v>165</v>
      </c>
      <c r="E13" s="8">
        <v>1</v>
      </c>
    </row>
    <row r="14" spans="2:5">
      <c r="B14" s="84">
        <v>13</v>
      </c>
      <c r="C14" s="22" t="s">
        <v>130</v>
      </c>
      <c r="D14" s="27" t="s">
        <v>188</v>
      </c>
      <c r="E14" s="9" t="s">
        <v>169</v>
      </c>
    </row>
    <row r="15" spans="2:5">
      <c r="B15" s="84">
        <v>14</v>
      </c>
      <c r="C15" s="21" t="s">
        <v>131</v>
      </c>
      <c r="D15" s="12" t="s">
        <v>189</v>
      </c>
      <c r="E15" s="8" t="s">
        <v>169</v>
      </c>
    </row>
    <row r="16" spans="2:5">
      <c r="B16" s="84">
        <v>15</v>
      </c>
      <c r="C16" s="22" t="s">
        <v>132</v>
      </c>
      <c r="D16" s="25" t="s">
        <v>182</v>
      </c>
      <c r="E16" s="9" t="s">
        <v>169</v>
      </c>
    </row>
    <row r="17" spans="2:6">
      <c r="B17" s="84">
        <v>16</v>
      </c>
      <c r="C17" s="21" t="s">
        <v>141</v>
      </c>
      <c r="D17" s="12" t="s">
        <v>185</v>
      </c>
      <c r="E17" s="29" t="s">
        <v>169</v>
      </c>
    </row>
    <row r="18" spans="2:6">
      <c r="B18" s="84">
        <v>17</v>
      </c>
      <c r="C18" s="22" t="s">
        <v>125</v>
      </c>
      <c r="D18" s="13" t="s">
        <v>138</v>
      </c>
      <c r="E18" s="9">
        <v>1</v>
      </c>
    </row>
    <row r="19" spans="2:6">
      <c r="B19" s="84">
        <v>18</v>
      </c>
      <c r="C19" s="21" t="s">
        <v>123</v>
      </c>
      <c r="D19" s="26" t="s">
        <v>335</v>
      </c>
      <c r="E19" s="29" t="s">
        <v>169</v>
      </c>
    </row>
    <row r="20" spans="2:6">
      <c r="B20" s="84">
        <v>19</v>
      </c>
      <c r="C20" s="22" t="s">
        <v>133</v>
      </c>
      <c r="D20" s="25" t="s">
        <v>191</v>
      </c>
      <c r="E20" s="9" t="s">
        <v>169</v>
      </c>
    </row>
    <row r="21" spans="2:6">
      <c r="B21" s="84">
        <v>20</v>
      </c>
      <c r="C21" s="21" t="s">
        <v>134</v>
      </c>
      <c r="D21" s="26" t="s">
        <v>343</v>
      </c>
      <c r="E21" s="29" t="s">
        <v>169</v>
      </c>
    </row>
    <row r="22" spans="2:6">
      <c r="B22" s="84">
        <v>21</v>
      </c>
      <c r="C22" s="22" t="s">
        <v>135</v>
      </c>
      <c r="D22" s="25" t="s">
        <v>190</v>
      </c>
      <c r="E22" s="32" t="s">
        <v>169</v>
      </c>
    </row>
    <row r="23" spans="2:6">
      <c r="B23" s="84">
        <v>22</v>
      </c>
      <c r="C23" s="21" t="s">
        <v>120</v>
      </c>
      <c r="D23" s="12" t="s">
        <v>168</v>
      </c>
      <c r="E23" s="8">
        <v>1</v>
      </c>
    </row>
    <row r="24" spans="2:6" ht="13.5" thickBot="1">
      <c r="B24" s="85">
        <v>23</v>
      </c>
      <c r="C24" s="23" t="s">
        <v>136</v>
      </c>
      <c r="D24" s="28" t="s">
        <v>183</v>
      </c>
      <c r="E24" s="10" t="s">
        <v>169</v>
      </c>
    </row>
    <row r="27" spans="2:6">
      <c r="F27" s="3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51"/>
  <sheetViews>
    <sheetView tabSelected="1" zoomScale="70" zoomScaleNormal="70" workbookViewId="0">
      <selection activeCell="Q39" sqref="Q39"/>
    </sheetView>
  </sheetViews>
  <sheetFormatPr defaultRowHeight="12.75"/>
  <cols>
    <col min="2" max="2" width="19.42578125" customWidth="1"/>
    <col min="11" max="11" width="9.140625" style="92"/>
    <col min="13" max="13" width="13.42578125" bestFit="1" customWidth="1"/>
    <col min="14" max="14" width="26.140625" customWidth="1"/>
    <col min="19" max="20" width="12.28515625" customWidth="1"/>
    <col min="26" max="28" width="9.140625" hidden="1" customWidth="1"/>
    <col min="30" max="30" width="9.140625" hidden="1" customWidth="1"/>
    <col min="31" max="32" width="25.5703125" hidden="1" customWidth="1"/>
    <col min="33" max="55" width="9.140625" hidden="1" customWidth="1"/>
    <col min="56" max="56" width="0" hidden="1" customWidth="1"/>
  </cols>
  <sheetData>
    <row r="1" spans="2:55" ht="13.5" thickBot="1">
      <c r="AG1">
        <v>1</v>
      </c>
      <c r="AH1">
        <v>2</v>
      </c>
      <c r="AI1">
        <v>3</v>
      </c>
      <c r="AJ1">
        <v>4</v>
      </c>
      <c r="AK1">
        <v>5</v>
      </c>
      <c r="AL1">
        <v>6</v>
      </c>
      <c r="AM1">
        <v>7</v>
      </c>
      <c r="AN1">
        <v>8</v>
      </c>
      <c r="AO1">
        <v>9</v>
      </c>
      <c r="AP1">
        <v>10</v>
      </c>
      <c r="AQ1">
        <v>11</v>
      </c>
      <c r="AR1">
        <v>12</v>
      </c>
      <c r="AS1">
        <v>13</v>
      </c>
      <c r="AT1">
        <v>14</v>
      </c>
      <c r="AU1">
        <v>15</v>
      </c>
      <c r="AV1">
        <v>16</v>
      </c>
      <c r="AW1">
        <v>17</v>
      </c>
      <c r="AX1">
        <v>18</v>
      </c>
      <c r="AY1">
        <v>19</v>
      </c>
      <c r="AZ1">
        <v>20</v>
      </c>
      <c r="BA1">
        <v>21</v>
      </c>
      <c r="BB1">
        <v>22</v>
      </c>
      <c r="BC1">
        <v>23</v>
      </c>
    </row>
    <row r="2" spans="2:55" ht="13.5" thickBot="1">
      <c r="B2" s="37" t="s">
        <v>290</v>
      </c>
      <c r="C2" s="38"/>
      <c r="E2" s="51" t="s">
        <v>162</v>
      </c>
      <c r="F2" s="52" t="s">
        <v>164</v>
      </c>
      <c r="G2" s="52" t="s">
        <v>163</v>
      </c>
      <c r="H2" s="53" t="s">
        <v>173</v>
      </c>
      <c r="I2" s="53" t="s">
        <v>174</v>
      </c>
      <c r="J2" s="53" t="s">
        <v>178</v>
      </c>
      <c r="K2" s="93" t="s">
        <v>155</v>
      </c>
      <c r="L2" s="54" t="s">
        <v>295</v>
      </c>
      <c r="M2" s="49" t="s">
        <v>175</v>
      </c>
      <c r="N2" s="49" t="s">
        <v>4</v>
      </c>
      <c r="O2" s="49" t="s">
        <v>3</v>
      </c>
      <c r="P2" s="49" t="s">
        <v>5</v>
      </c>
      <c r="Q2" s="49" t="s">
        <v>147</v>
      </c>
      <c r="R2" s="49" t="s">
        <v>6</v>
      </c>
      <c r="S2" s="49" t="s">
        <v>302</v>
      </c>
      <c r="T2" s="49" t="s">
        <v>8</v>
      </c>
      <c r="U2" s="49" t="s">
        <v>143</v>
      </c>
      <c r="V2" s="49" t="s">
        <v>144</v>
      </c>
      <c r="W2" s="49" t="s">
        <v>166</v>
      </c>
      <c r="X2" s="49" t="s">
        <v>142</v>
      </c>
      <c r="Y2" s="49" t="s">
        <v>157</v>
      </c>
      <c r="Z2" s="49" t="s">
        <v>298</v>
      </c>
      <c r="AA2" s="49" t="s">
        <v>297</v>
      </c>
      <c r="AB2" s="49" t="s">
        <v>336</v>
      </c>
      <c r="AC2" s="49" t="s">
        <v>145</v>
      </c>
      <c r="AD2" s="49" t="s">
        <v>177</v>
      </c>
      <c r="AE2" s="49" t="s">
        <v>0</v>
      </c>
      <c r="AF2" s="49" t="s">
        <v>179</v>
      </c>
      <c r="AG2" s="49" t="s">
        <v>117</v>
      </c>
      <c r="AH2" s="49" t="s">
        <v>114</v>
      </c>
      <c r="AI2" s="49" t="s">
        <v>115</v>
      </c>
      <c r="AJ2" s="49" t="s">
        <v>126</v>
      </c>
      <c r="AK2" s="49" t="s">
        <v>128</v>
      </c>
      <c r="AL2" s="49" t="s">
        <v>118</v>
      </c>
      <c r="AM2" s="49" t="s">
        <v>121</v>
      </c>
      <c r="AN2" s="49" t="s">
        <v>124</v>
      </c>
      <c r="AO2" s="49" t="s">
        <v>122</v>
      </c>
      <c r="AP2" s="49" t="s">
        <v>127</v>
      </c>
      <c r="AQ2" s="49" t="s">
        <v>129</v>
      </c>
      <c r="AR2" s="49" t="s">
        <v>119</v>
      </c>
      <c r="AS2" s="49" t="s">
        <v>130</v>
      </c>
      <c r="AT2" s="49" t="s">
        <v>131</v>
      </c>
      <c r="AU2" s="49" t="s">
        <v>132</v>
      </c>
      <c r="AV2" s="49" t="s">
        <v>141</v>
      </c>
      <c r="AW2" s="49" t="s">
        <v>125</v>
      </c>
      <c r="AX2" s="49" t="s">
        <v>123</v>
      </c>
      <c r="AY2" s="49" t="s">
        <v>133</v>
      </c>
      <c r="AZ2" s="49" t="s">
        <v>134</v>
      </c>
      <c r="BA2" s="49" t="s">
        <v>135</v>
      </c>
      <c r="BB2" s="49" t="s">
        <v>120</v>
      </c>
      <c r="BC2" s="50" t="s">
        <v>136</v>
      </c>
    </row>
    <row r="3" spans="2:55">
      <c r="B3" s="34" t="s">
        <v>143</v>
      </c>
      <c r="C3" s="35">
        <f>SUM($U:$U)</f>
        <v>0</v>
      </c>
      <c r="E3" s="48"/>
      <c r="F3" s="2"/>
      <c r="G3" s="2"/>
      <c r="H3" s="2"/>
      <c r="I3" s="2"/>
      <c r="J3" s="2"/>
      <c r="K3" s="94"/>
      <c r="L3" s="2"/>
      <c r="M3" s="40"/>
      <c r="N3" s="40" t="str">
        <f>IFERROR(VLOOKUP($E3,Songs!$A$1:$AG$178,7,FALSE),"")</f>
        <v/>
      </c>
      <c r="O3" s="40" t="str">
        <f>IFERROR(VLOOKUP($E3,Songs!$A$1:$AG$178,6,FALSE),"")</f>
        <v/>
      </c>
      <c r="P3" s="40" t="str">
        <f>IFERROR(VLOOKUP($E3,Songs!$A$1:$AG$178,8,FALSE),"")</f>
        <v/>
      </c>
      <c r="Q3" s="40" t="str">
        <f>IFERROR(VLOOKUP($E3,Songs!$A$1:$AG$178,22,FALSE),"")</f>
        <v/>
      </c>
      <c r="R3" s="40" t="str">
        <f>IFERROR(VLOOKUP($E3,Songs!$A$1:$AG$178,9,FALSE),"")</f>
        <v/>
      </c>
      <c r="S3" s="40">
        <f>IFERROR(VLOOKUP($E3,Songs!$A$1:$AG$178,17,FALSE),0)</f>
        <v>0</v>
      </c>
      <c r="T3" s="40" t="str">
        <f>IFERROR(VLOOKUP($E3,Songs!$A$1:$AG$178,11,FALSE),"")</f>
        <v/>
      </c>
      <c r="U3" s="40" t="str">
        <f>IFERROR(VLOOKUP($E3,Songs!$A$1:$AG$178,28,FALSE),"")</f>
        <v/>
      </c>
      <c r="V3" s="40">
        <f>IFERROR(VLOOKUP($E3,Songs!$A$1:$AG$178,29,FALSE),0)</f>
        <v>0</v>
      </c>
      <c r="W3" s="40">
        <f>IFERROR(VLOOKUP($E3,Songs!$A$1:$AG$178,30,FALSE),0)</f>
        <v>0</v>
      </c>
      <c r="X3" s="40">
        <f>ROUNDUP((K3^4)*1000,0)</f>
        <v>0</v>
      </c>
      <c r="Y3" s="40">
        <f>IFERROR(INDEX($A:$CK,ROW($F3),COLUMN($F3)+26+$F3)+INDEX($A:$CK,ROW($F3),COLUMN($F3)+26+$G3)+IF(OR($F3=3,$F3=22,$G3=3,$G3=22,$H3=3,$H3=22,$I3=3,$I3=22),INDEX($A:$CK,ROW($F3),COLUMN($F3)+26+$H3),0)+IF(OR($F3=22,$G3=22,$H3=22,$I3=22),INDEX($A:$CK,ROW($F3),COLUMN($F3)+26+$I3),0)+IF(AND(OR($F3=22,$G3=22,$H3=22,$I3=22),OR($F3=3,$G3=3,$H3=3,$I3=3)),INDEX($A:$CK,ROW($F3),COLUMN($F3)+26+$J3),0),"")</f>
        <v>0</v>
      </c>
      <c r="Z3" s="41">
        <f>IFERROR(ROUNDDOWN((SUM($U3:$X3)*(VLOOKUP($Q3,$B$16:$C$26,2,FALSE)/99)*K3)*IF((($T3-(MIN(Songs!$K:$K))+0.1)/(8-(MIN(Songs!$K:$K))))&lt;1,(($T3-(MIN(Songs!$K:$K))+0.1)/(8-(MIN(Songs!$K:$K)))),1),0),0)</f>
        <v>0</v>
      </c>
      <c r="AA3" s="41">
        <f>ROUNDDOWN(SUM(U3:X3),0)</f>
        <v>0</v>
      </c>
      <c r="AB3" s="41">
        <f>IF($L3=1,$AA3+$Y3,$Z3)</f>
        <v>0</v>
      </c>
      <c r="AC3" s="80">
        <f t="array" ref="AC3">IF(MAX(IF($E:$E=$E3,$AB:$AB),1,0)&gt;$AB3,0,$AB3)</f>
        <v>0</v>
      </c>
      <c r="AD3" s="55">
        <f>RANK($AC3,$AC:$AC,0)</f>
        <v>1</v>
      </c>
      <c r="AE3" s="56" t="str">
        <f>IFERROR(VLOOKUP($E3,Songs!$A$1:$AG$178,3,FALSE),"")</f>
        <v/>
      </c>
      <c r="AF3" s="56"/>
      <c r="AG3" s="56">
        <f>100*(IF(COUNTIFS($Q:$Q,"=170",$L:$L,"&gt;0")&gt;0,1,0)+IF(COUNTIFS($Q:$Q,"=180",$L:$L,"&gt;0")&gt;0,1,0)+IF(COUNTIFS($Q:$Q,"=190",$L:$L,"&gt;0")&gt;0,1,0)+IF(COUNTIFS($Q:$Q,"=200",$L:$L,"&gt;0")&gt;0,1,0)+IF(COUNTIFS($Q:$Q,"=210",$L:$L,"&gt;0")&gt;0,1,0)+IF(COUNTIFS($Q:$Q,"=220",$L:$L,"&gt;0")&gt;0,1,0)+IF(COUNTIFS($Q:$Q,"=230",$L:$L,"&gt;0")&gt;0,1,0)+IF(COUNTIFS($Q:$Q,"=240",$L:$L,"&gt;0")&gt;0,1,0)+IF(COUNTIFS($Q:$Q,"=250",$L:$L,"&gt;0")&gt;0,1,0)+IF(COUNTIFS($Q:$Q,"=260",$L:$L,"&gt;0")&gt;0,1,0))</f>
        <v>0</v>
      </c>
      <c r="AH3" s="56">
        <f>60*SUMPRODUCT(($Q:$Q = $Q3) * ($Q:$Q &gt; 0) * ($L:$L &gt; 0))</f>
        <v>0</v>
      </c>
      <c r="AI3" s="56">
        <f>100</f>
        <v>100</v>
      </c>
      <c r="AJ3" s="56">
        <f>IFERROR(ROUNDDOWN(50+IF($M3&gt;=17,$W3*0.03125,0),0),"")</f>
        <v>50</v>
      </c>
      <c r="AK3" s="56">
        <f>ROUNDDOWN(IF($Q3=180,100,0)+($X3*0.1),0)</f>
        <v>0</v>
      </c>
      <c r="AL3" s="56">
        <f>0</f>
        <v>0</v>
      </c>
      <c r="AM3" s="56">
        <v>100</v>
      </c>
      <c r="AN3" s="56">
        <f>0</f>
        <v>0</v>
      </c>
      <c r="AO3" s="56">
        <f>IFERROR(ROUNDDOWN(($W3*0.15625)+100,0),"")</f>
        <v>100</v>
      </c>
      <c r="AP3" s="56">
        <f>IFERROR(ROUNDDOWN(IF($Q3=170,100,0)+($V3*0.2),0),"")</f>
        <v>0</v>
      </c>
      <c r="AQ3" s="56">
        <f>IFERROR(ROUNDDOWN(IF($Q3=190,100,0)+($U3*0.125),0),0)</f>
        <v>0</v>
      </c>
      <c r="AR3" s="56">
        <f>0</f>
        <v>0</v>
      </c>
      <c r="AS3" s="56">
        <f>ROUNDDOWN(IF($Q3=200,100,0)+($X3*0.3),0)</f>
        <v>0</v>
      </c>
      <c r="AT3" s="56">
        <f>IFERROR(ROUNDDOWN(IF($Q3=220,100,0)+($U3*0.046875)+($V3*0.075)+($W3*0.0234375)+($X3*0.075),0),0)</f>
        <v>0</v>
      </c>
      <c r="AU3" s="56">
        <f>IF($Q3=230,100,0)</f>
        <v>0</v>
      </c>
      <c r="AV3" s="56">
        <f>IFERROR(ROUNDDOWN(IF($Q3=210,100,0)+($V3*0.4),0),"")</f>
        <v>0</v>
      </c>
      <c r="AW3" s="56">
        <f>0</f>
        <v>0</v>
      </c>
      <c r="AX3" s="56">
        <f>ROUNDDOWN(IF(OR(IFERROR(FIND("French",$AE3),0)&gt;0,IFERROR(FIND("Baguette",$AE3),0)&gt;0),($W3*0.15625)+100,0),0)</f>
        <v>0</v>
      </c>
      <c r="AY3" s="56">
        <f>IFERROR(ROUNDDOWN(IF($Q3=240,100,0)+($U3*0.125)+($V3*0.2),0),0)</f>
        <v>0</v>
      </c>
      <c r="AZ3" s="56">
        <f>IFERROR(ROUNDDOWN(IF($Q3=250,100,0)+(400*S3),0),0)</f>
        <v>0</v>
      </c>
      <c r="BA3" s="56">
        <f>IFERROR(ROUNDDOWN(IF($Q3=260,100,0)+($U3*0.25),0),0)</f>
        <v>0</v>
      </c>
      <c r="BB3" s="56">
        <f>0</f>
        <v>0</v>
      </c>
      <c r="BC3" s="57">
        <f>600</f>
        <v>600</v>
      </c>
    </row>
    <row r="4" spans="2:55">
      <c r="B4" s="34" t="s">
        <v>144</v>
      </c>
      <c r="C4" s="35">
        <f>SUM($V:$V)</f>
        <v>0</v>
      </c>
      <c r="E4" s="39"/>
      <c r="F4" s="2"/>
      <c r="G4" s="2"/>
      <c r="H4" s="1"/>
      <c r="I4" s="1"/>
      <c r="J4" s="1"/>
      <c r="K4" s="95"/>
      <c r="L4" s="1"/>
      <c r="M4" s="40"/>
      <c r="N4" s="40" t="str">
        <f>IFERROR(VLOOKUP($E4,Songs!$A$1:$AG$178,7,FALSE),"")</f>
        <v/>
      </c>
      <c r="O4" s="40" t="str">
        <f>IFERROR(VLOOKUP($E4,Songs!$A$1:$AG$178,6,FALSE),"")</f>
        <v/>
      </c>
      <c r="P4" s="40" t="str">
        <f>IFERROR(VLOOKUP($E4,Songs!$A$1:$AG$178,8,FALSE),"")</f>
        <v/>
      </c>
      <c r="Q4" s="40" t="str">
        <f>IFERROR(VLOOKUP($E4,Songs!$A$1:$AG$178,22,FALSE),"")</f>
        <v/>
      </c>
      <c r="R4" s="40" t="str">
        <f>IFERROR(VLOOKUP($E4,Songs!$A$1:$AG$178,9,FALSE),"")</f>
        <v/>
      </c>
      <c r="S4" s="40">
        <f>IFERROR(VLOOKUP($E4,Songs!$A$1:$AG$178,17,FALSE),0)</f>
        <v>0</v>
      </c>
      <c r="T4" s="40" t="str">
        <f>IFERROR(VLOOKUP($E4,Songs!$A$1:$AG$178,11,FALSE),"")</f>
        <v/>
      </c>
      <c r="U4" s="40" t="str">
        <f>IFERROR(VLOOKUP($E4,Songs!$A$1:$AG$178,28,FALSE),"")</f>
        <v/>
      </c>
      <c r="V4" s="40">
        <f>IFERROR(VLOOKUP($E4,Songs!$A$1:$AG$178,29,FALSE),0)</f>
        <v>0</v>
      </c>
      <c r="W4" s="40">
        <f>IFERROR(VLOOKUP($E4,Songs!$A$1:$AG$178,30,FALSE),0)</f>
        <v>0</v>
      </c>
      <c r="X4" s="40">
        <f t="shared" ref="X4:X20" si="0">ROUNDUP((K4^4)*1000,0)</f>
        <v>0</v>
      </c>
      <c r="Y4" s="40">
        <f t="shared" ref="Y4:Y20" si="1">IFERROR(INDEX($A:$CK,ROW($F4),COLUMN($F4)+26+$F4)+INDEX($A:$CK,ROW($F4),COLUMN($F4)+26+$G4)+IF(OR($F4=3,$F4=22,$G4=3,$G4=22,$H4=3,$H4=22,$I4=3,$I4=22),INDEX($A:$CK,ROW($F4),COLUMN($F4)+26+$H4),0)+IF(OR($F4=22,$G4=22,$H4=22,$I4=22),INDEX($A:$CK,ROW($F4),COLUMN($F4)+26+$I4),0)+IF(AND(OR($F4=22,$G4=22,$H4=22,$I4=22),OR($F4=3,$G4=3,$H4=3,$I4=3)),INDEX($A:$CK,ROW($F4),COLUMN($F4)+26+$J4),0),"")</f>
        <v>0</v>
      </c>
      <c r="Z4" s="41">
        <f>IFERROR(ROUNDDOWN((SUM($U4:$X4)*(VLOOKUP($Q4,$B$16:$C$26,2,FALSE)/99)*K4)*IF((($T4-(MIN(Songs!$K:$K))+0.1)/(8-(MIN(Songs!$K:$K))))&lt;1,(($T4-(MIN(Songs!$K:$K))+0.1)/(8-(MIN(Songs!$K:$K)))),1),0),0)</f>
        <v>0</v>
      </c>
      <c r="AA4" s="41">
        <f t="shared" ref="AA4:AA20" si="2">ROUNDDOWN(SUM(U4:X4),0)</f>
        <v>0</v>
      </c>
      <c r="AB4" s="41">
        <f t="shared" ref="AB4:AB20" si="3">IF($L4=1,$AA4+$Y4,$Z4)</f>
        <v>0</v>
      </c>
      <c r="AC4" s="80">
        <f t="array" ref="AC4">IF(MAX(IF($E:$E=$E4,$AB:$AB),1,0)&gt;$AB4,0,$AB4)</f>
        <v>0</v>
      </c>
      <c r="AD4" s="58">
        <f t="shared" ref="AD4:AD20" si="4">RANK($AC4,$AC:$AC,0)</f>
        <v>1</v>
      </c>
      <c r="AE4" s="40" t="str">
        <f>IFERROR(VLOOKUP($E4,Songs!$A$1:$AG$178,3,FALSE),"")</f>
        <v/>
      </c>
      <c r="AF4" s="40"/>
      <c r="AG4" s="40">
        <f t="shared" ref="AG4:AG20" si="5">100*(IF(COUNTIF($Q:$Q,"=170")&gt;0,1,0)+IF(COUNTIF($Q:$Q,"=180")&gt;0,1,0)+IF(COUNTIF($Q:$Q,"=190")&gt;0,1,0)+IF(COUNTIF($Q:$Q,"=200")&gt;0,1,0)+IF(COUNTIF($Q:$Q,"=210")&gt;0,1,0)+IF(COUNTIF($Q:$Q,"=220")&gt;0,1,0)+IF(COUNTIF($Q:$Q,"=230")&gt;0,1,0)+IF(COUNTIF($Q:$Q,"=240")&gt;0,1,0)+IF(COUNTIF($Q:$Q,"=250")&gt;0,1,0)+IF(COUNTIF($Q:$Q,"=260")&gt;0,1,0))</f>
        <v>0</v>
      </c>
      <c r="AH4" s="40">
        <f t="shared" ref="AH4:AH20" si="6">60*SUMPRODUCT(($Q:$Q = $Q4) * ($Q:$Q &gt; 0) * ($L:$L &gt; 0))</f>
        <v>0</v>
      </c>
      <c r="AI4" s="40">
        <f>100</f>
        <v>100</v>
      </c>
      <c r="AJ4" s="40">
        <f t="shared" ref="AJ4:AJ20" si="7">IFERROR(ROUNDDOWN(50+IF($M4&gt;=17,$W4*0.03125,0),0),"")</f>
        <v>50</v>
      </c>
      <c r="AK4" s="40">
        <f t="shared" ref="AK4:AK20" si="8">ROUNDDOWN(IF($Q4=180,100,0)+($X4*0.1),0)</f>
        <v>0</v>
      </c>
      <c r="AL4" s="40">
        <f>0</f>
        <v>0</v>
      </c>
      <c r="AM4" s="40">
        <v>100</v>
      </c>
      <c r="AN4" s="40">
        <f>0</f>
        <v>0</v>
      </c>
      <c r="AO4" s="40">
        <f t="shared" ref="AO4:AO20" si="9">IFERROR(ROUNDDOWN(($W4*0.15625)+100,0),"")</f>
        <v>100</v>
      </c>
      <c r="AP4" s="40">
        <f t="shared" ref="AP4:AP20" si="10">IFERROR(ROUNDDOWN(IF($Q4=170,100,0)+($V4*0.2),0),"")</f>
        <v>0</v>
      </c>
      <c r="AQ4" s="40">
        <f t="shared" ref="AQ4:AQ20" si="11">IFERROR(ROUNDDOWN(IF($Q4=190,100,0)+($U4*0.125),0),0)</f>
        <v>0</v>
      </c>
      <c r="AR4" s="40">
        <f>0</f>
        <v>0</v>
      </c>
      <c r="AS4" s="40">
        <f t="shared" ref="AS4:AS20" si="12">ROUNDDOWN(IF($Q4=200,100,0)+($X4*0.3),0)</f>
        <v>0</v>
      </c>
      <c r="AT4" s="40">
        <f t="shared" ref="AT4:AT20" si="13">IFERROR(ROUNDDOWN(IF($Q4=220,100,0)+($U4*0.046875)+($V4*0.075)+($W4*0.0234375)+($X4*0.075),0),0)</f>
        <v>0</v>
      </c>
      <c r="AU4" s="40">
        <f t="shared" ref="AU4:AU20" si="14">IF($Q4=230,100,0)</f>
        <v>0</v>
      </c>
      <c r="AV4" s="40">
        <f t="shared" ref="AV4:AV20" si="15">IFERROR(ROUNDDOWN(IF($Q4=210,100,0)+($V4*0.4),0),"")</f>
        <v>0</v>
      </c>
      <c r="AW4" s="40">
        <f>0</f>
        <v>0</v>
      </c>
      <c r="AX4" s="40">
        <f t="shared" ref="AX4:AX20" si="16">ROUNDDOWN(IF(OR(IFERROR(FIND("French",$AE4),0)&gt;0,IFERROR(FIND("Baguette",$AE4),0)&gt;0),($W4*0.15625)+100,0),0)</f>
        <v>0</v>
      </c>
      <c r="AY4" s="40">
        <f t="shared" ref="AY4:AY20" si="17">IFERROR(ROUNDDOWN(IF($Q4=240,100,0)+($U4*0.125)+($V4*0.2),0),0)</f>
        <v>0</v>
      </c>
      <c r="AZ4" s="40">
        <f t="shared" ref="AZ4:AZ20" si="18">IFERROR(ROUNDDOWN(IF($Q4=250,100,0)+(400*S4),0),0)</f>
        <v>0</v>
      </c>
      <c r="BA4" s="40">
        <f t="shared" ref="BA4:BA20" si="19">IFERROR(ROUNDDOWN(IF($Q4=260,100,0)+($U4*0.25),0),0)</f>
        <v>0</v>
      </c>
      <c r="BB4" s="40">
        <f>0</f>
        <v>0</v>
      </c>
      <c r="BC4" s="42">
        <f>600</f>
        <v>600</v>
      </c>
    </row>
    <row r="5" spans="2:55">
      <c r="B5" s="34" t="s">
        <v>166</v>
      </c>
      <c r="C5" s="35">
        <f>SUM($W:$W)</f>
        <v>0</v>
      </c>
      <c r="E5" s="48"/>
      <c r="F5" s="2"/>
      <c r="G5" s="2"/>
      <c r="H5" s="1"/>
      <c r="I5" s="1"/>
      <c r="J5" s="1"/>
      <c r="K5" s="95"/>
      <c r="L5" s="1"/>
      <c r="M5" s="40"/>
      <c r="N5" s="40" t="str">
        <f>IFERROR(VLOOKUP($E5,Songs!$A$1:$AG$178,7,FALSE),"")</f>
        <v/>
      </c>
      <c r="O5" s="40" t="str">
        <f>IFERROR(VLOOKUP($E5,Songs!$A$1:$AG$178,6,FALSE),"")</f>
        <v/>
      </c>
      <c r="P5" s="40" t="str">
        <f>IFERROR(VLOOKUP($E5,Songs!$A$1:$AG$178,8,FALSE),"")</f>
        <v/>
      </c>
      <c r="Q5" s="40" t="str">
        <f>IFERROR(VLOOKUP($E5,Songs!$A$1:$AG$178,22,FALSE),"")</f>
        <v/>
      </c>
      <c r="R5" s="40" t="str">
        <f>IFERROR(VLOOKUP($E5,Songs!$A$1:$AG$178,9,FALSE),"")</f>
        <v/>
      </c>
      <c r="S5" s="40">
        <f>IFERROR(VLOOKUP($E5,Songs!$A$1:$AG$178,17,FALSE),0)</f>
        <v>0</v>
      </c>
      <c r="T5" s="40" t="str">
        <f>IFERROR(VLOOKUP($E5,Songs!$A$1:$AG$178,11,FALSE),"")</f>
        <v/>
      </c>
      <c r="U5" s="40" t="str">
        <f>IFERROR(VLOOKUP($E5,Songs!$A$1:$AG$178,28,FALSE),"")</f>
        <v/>
      </c>
      <c r="V5" s="40">
        <f>IFERROR(VLOOKUP($E5,Songs!$A$1:$AG$178,29,FALSE),0)</f>
        <v>0</v>
      </c>
      <c r="W5" s="40">
        <f>IFERROR(VLOOKUP($E5,Songs!$A$1:$AG$178,30,FALSE),0)</f>
        <v>0</v>
      </c>
      <c r="X5" s="40">
        <f t="shared" si="0"/>
        <v>0</v>
      </c>
      <c r="Y5" s="40">
        <f t="shared" si="1"/>
        <v>0</v>
      </c>
      <c r="Z5" s="41">
        <f>IFERROR(ROUNDDOWN((SUM($U5:$X5)*(VLOOKUP($Q5,$B$16:$C$26,2,FALSE)/99)*K5)*IF((($T5-(MIN(Songs!$K:$K))+0.1)/(8-(MIN(Songs!$K:$K))))&lt;1,(($T5-(MIN(Songs!$K:$K))+0.1)/(8-(MIN(Songs!$K:$K)))),1),0),0)</f>
        <v>0</v>
      </c>
      <c r="AA5" s="41">
        <f t="shared" si="2"/>
        <v>0</v>
      </c>
      <c r="AB5" s="41">
        <f t="shared" si="3"/>
        <v>0</v>
      </c>
      <c r="AC5" s="80">
        <f t="array" ref="AC5">IF(MAX(IF($E:$E=$E5,$AB:$AB),1,0)&gt;$AB5,0,$AB5)</f>
        <v>0</v>
      </c>
      <c r="AD5" s="58">
        <f t="shared" si="4"/>
        <v>1</v>
      </c>
      <c r="AE5" s="40" t="str">
        <f>IFERROR(VLOOKUP($E5,Songs!$A$1:$AG$178,3,FALSE),"")</f>
        <v/>
      </c>
      <c r="AF5" s="40"/>
      <c r="AG5" s="40">
        <f t="shared" si="5"/>
        <v>0</v>
      </c>
      <c r="AH5" s="40">
        <f t="shared" si="6"/>
        <v>0</v>
      </c>
      <c r="AI5" s="40">
        <f>100</f>
        <v>100</v>
      </c>
      <c r="AJ5" s="40">
        <f t="shared" si="7"/>
        <v>50</v>
      </c>
      <c r="AK5" s="40">
        <f t="shared" si="8"/>
        <v>0</v>
      </c>
      <c r="AL5" s="40">
        <f>0</f>
        <v>0</v>
      </c>
      <c r="AM5" s="40">
        <v>100</v>
      </c>
      <c r="AN5" s="40">
        <f>0</f>
        <v>0</v>
      </c>
      <c r="AO5" s="40">
        <f t="shared" si="9"/>
        <v>100</v>
      </c>
      <c r="AP5" s="40">
        <f t="shared" si="10"/>
        <v>0</v>
      </c>
      <c r="AQ5" s="40">
        <f t="shared" si="11"/>
        <v>0</v>
      </c>
      <c r="AR5" s="40">
        <f>0</f>
        <v>0</v>
      </c>
      <c r="AS5" s="40">
        <f t="shared" si="12"/>
        <v>0</v>
      </c>
      <c r="AT5" s="40">
        <f t="shared" si="13"/>
        <v>0</v>
      </c>
      <c r="AU5" s="40">
        <f t="shared" si="14"/>
        <v>0</v>
      </c>
      <c r="AV5" s="40">
        <f t="shared" si="15"/>
        <v>0</v>
      </c>
      <c r="AW5" s="40">
        <f>0</f>
        <v>0</v>
      </c>
      <c r="AX5" s="40">
        <f t="shared" si="16"/>
        <v>0</v>
      </c>
      <c r="AY5" s="40">
        <f t="shared" si="17"/>
        <v>0</v>
      </c>
      <c r="AZ5" s="40">
        <f t="shared" si="18"/>
        <v>0</v>
      </c>
      <c r="BA5" s="40">
        <f t="shared" si="19"/>
        <v>0</v>
      </c>
      <c r="BB5" s="40">
        <f>0</f>
        <v>0</v>
      </c>
      <c r="BC5" s="42">
        <f>600</f>
        <v>600</v>
      </c>
    </row>
    <row r="6" spans="2:55">
      <c r="B6" s="34" t="s">
        <v>142</v>
      </c>
      <c r="C6" s="35">
        <f>SUM($X:$X)</f>
        <v>0</v>
      </c>
      <c r="E6" s="39"/>
      <c r="F6" s="2"/>
      <c r="G6" s="2"/>
      <c r="H6" s="1"/>
      <c r="I6" s="1"/>
      <c r="J6" s="1"/>
      <c r="K6" s="95"/>
      <c r="L6" s="1"/>
      <c r="M6" s="40"/>
      <c r="N6" s="40" t="str">
        <f>IFERROR(VLOOKUP($E6,Songs!$A$1:$AG$178,7,FALSE),"")</f>
        <v/>
      </c>
      <c r="O6" s="40" t="str">
        <f>IFERROR(VLOOKUP($E6,Songs!$A$1:$AG$178,6,FALSE),"")</f>
        <v/>
      </c>
      <c r="P6" s="40" t="str">
        <f>IFERROR(VLOOKUP($E6,Songs!$A$1:$AG$178,8,FALSE),"")</f>
        <v/>
      </c>
      <c r="Q6" s="40" t="str">
        <f>IFERROR(VLOOKUP($E6,Songs!$A$1:$AG$178,22,FALSE),"")</f>
        <v/>
      </c>
      <c r="R6" s="40" t="str">
        <f>IFERROR(VLOOKUP($E6,Songs!$A$1:$AG$178,9,FALSE),"")</f>
        <v/>
      </c>
      <c r="S6" s="40">
        <f>IFERROR(VLOOKUP($E6,Songs!$A$1:$AG$178,17,FALSE),0)</f>
        <v>0</v>
      </c>
      <c r="T6" s="40" t="str">
        <f>IFERROR(VLOOKUP($E6,Songs!$A$1:$AG$178,11,FALSE),"")</f>
        <v/>
      </c>
      <c r="U6" s="40" t="str">
        <f>IFERROR(VLOOKUP($E6,Songs!$A$1:$AG$178,28,FALSE),"")</f>
        <v/>
      </c>
      <c r="V6" s="40">
        <f>IFERROR(VLOOKUP($E6,Songs!$A$1:$AG$178,29,FALSE),0)</f>
        <v>0</v>
      </c>
      <c r="W6" s="40">
        <f>IFERROR(VLOOKUP($E6,Songs!$A$1:$AG$178,30,FALSE),0)</f>
        <v>0</v>
      </c>
      <c r="X6" s="40">
        <f t="shared" si="0"/>
        <v>0</v>
      </c>
      <c r="Y6" s="40">
        <f t="shared" si="1"/>
        <v>0</v>
      </c>
      <c r="Z6" s="41">
        <f>IFERROR(ROUNDDOWN((SUM($U6:$X6)*(VLOOKUP($Q6,$B$16:$C$26,2,FALSE)/99)*K6)*IF((($T6-(MIN(Songs!$K:$K))+0.1)/(8-(MIN(Songs!$K:$K))))&lt;1,(($T6-(MIN(Songs!$K:$K))+0.1)/(8-(MIN(Songs!$K:$K)))),1),0),0)</f>
        <v>0</v>
      </c>
      <c r="AA6" s="41">
        <f t="shared" si="2"/>
        <v>0</v>
      </c>
      <c r="AB6" s="41">
        <f t="shared" si="3"/>
        <v>0</v>
      </c>
      <c r="AC6" s="80">
        <f t="array" ref="AC6">IF(MAX(IF($E:$E=$E6,$AB:$AB),1,0)&gt;$AB6,0,$AB6)</f>
        <v>0</v>
      </c>
      <c r="AD6" s="58">
        <f t="shared" si="4"/>
        <v>1</v>
      </c>
      <c r="AE6" s="40" t="str">
        <f>IFERROR(VLOOKUP($E6,Songs!$A$1:$AG$178,3,FALSE),"")</f>
        <v/>
      </c>
      <c r="AF6" s="40"/>
      <c r="AG6" s="40">
        <f t="shared" si="5"/>
        <v>0</v>
      </c>
      <c r="AH6" s="40">
        <f t="shared" si="6"/>
        <v>0</v>
      </c>
      <c r="AI6" s="40">
        <f>100</f>
        <v>100</v>
      </c>
      <c r="AJ6" s="40">
        <f t="shared" si="7"/>
        <v>50</v>
      </c>
      <c r="AK6" s="40">
        <f t="shared" si="8"/>
        <v>0</v>
      </c>
      <c r="AL6" s="40">
        <f>0</f>
        <v>0</v>
      </c>
      <c r="AM6" s="40">
        <v>100</v>
      </c>
      <c r="AN6" s="40">
        <f>0</f>
        <v>0</v>
      </c>
      <c r="AO6" s="40">
        <f t="shared" si="9"/>
        <v>100</v>
      </c>
      <c r="AP6" s="40">
        <f t="shared" si="10"/>
        <v>0</v>
      </c>
      <c r="AQ6" s="40">
        <f t="shared" si="11"/>
        <v>0</v>
      </c>
      <c r="AR6" s="40">
        <f>0</f>
        <v>0</v>
      </c>
      <c r="AS6" s="40">
        <f t="shared" si="12"/>
        <v>0</v>
      </c>
      <c r="AT6" s="40">
        <f t="shared" si="13"/>
        <v>0</v>
      </c>
      <c r="AU6" s="40">
        <f t="shared" si="14"/>
        <v>0</v>
      </c>
      <c r="AV6" s="40">
        <f t="shared" si="15"/>
        <v>0</v>
      </c>
      <c r="AW6" s="40">
        <f>0</f>
        <v>0</v>
      </c>
      <c r="AX6" s="40">
        <f t="shared" si="16"/>
        <v>0</v>
      </c>
      <c r="AY6" s="40">
        <f t="shared" si="17"/>
        <v>0</v>
      </c>
      <c r="AZ6" s="40">
        <f t="shared" si="18"/>
        <v>0</v>
      </c>
      <c r="BA6" s="40">
        <f t="shared" si="19"/>
        <v>0</v>
      </c>
      <c r="BB6" s="40">
        <f>0</f>
        <v>0</v>
      </c>
      <c r="BC6" s="42">
        <f>600</f>
        <v>600</v>
      </c>
    </row>
    <row r="7" spans="2:55">
      <c r="B7" s="34" t="s">
        <v>157</v>
      </c>
      <c r="C7" s="35">
        <f>SUMIF($L:$L,"&lt;&gt;0",$Y:$Y)</f>
        <v>0</v>
      </c>
      <c r="E7" s="48"/>
      <c r="F7" s="2"/>
      <c r="G7" s="2"/>
      <c r="H7" s="1"/>
      <c r="I7" s="1"/>
      <c r="J7" s="1"/>
      <c r="K7" s="95"/>
      <c r="L7" s="1"/>
      <c r="M7" s="40"/>
      <c r="N7" s="40" t="str">
        <f>IFERROR(VLOOKUP($E7,Songs!$A$1:$AG$178,7,FALSE),"")</f>
        <v/>
      </c>
      <c r="O7" s="40" t="str">
        <f>IFERROR(VLOOKUP($E7,Songs!$A$1:$AG$178,6,FALSE),"")</f>
        <v/>
      </c>
      <c r="P7" s="40" t="str">
        <f>IFERROR(VLOOKUP($E7,Songs!$A$1:$AG$178,8,FALSE),"")</f>
        <v/>
      </c>
      <c r="Q7" s="40" t="str">
        <f>IFERROR(VLOOKUP($E7,Songs!$A$1:$AG$178,22,FALSE),"")</f>
        <v/>
      </c>
      <c r="R7" s="40" t="str">
        <f>IFERROR(VLOOKUP($E7,Songs!$A$1:$AG$178,9,FALSE),"")</f>
        <v/>
      </c>
      <c r="S7" s="40">
        <f>IFERROR(VLOOKUP($E7,Songs!$A$1:$AG$178,17,FALSE),0)</f>
        <v>0</v>
      </c>
      <c r="T7" s="40" t="str">
        <f>IFERROR(VLOOKUP($E7,Songs!$A$1:$AG$178,11,FALSE),"")</f>
        <v/>
      </c>
      <c r="U7" s="40" t="str">
        <f>IFERROR(VLOOKUP($E7,Songs!$A$1:$AG$178,28,FALSE),"")</f>
        <v/>
      </c>
      <c r="V7" s="40">
        <f>IFERROR(VLOOKUP($E7,Songs!$A$1:$AG$178,29,FALSE),0)</f>
        <v>0</v>
      </c>
      <c r="W7" s="40">
        <f>IFERROR(VLOOKUP($E7,Songs!$A$1:$AG$178,30,FALSE),0)</f>
        <v>0</v>
      </c>
      <c r="X7" s="40">
        <f t="shared" si="0"/>
        <v>0</v>
      </c>
      <c r="Y7" s="40">
        <f t="shared" si="1"/>
        <v>0</v>
      </c>
      <c r="Z7" s="41">
        <f>IFERROR(ROUNDDOWN((SUM($U7:$X7)*(VLOOKUP($Q7,$B$16:$C$26,2,FALSE)/99)*K7)*IF((($T7-(MIN(Songs!$K:$K))+0.1)/(8-(MIN(Songs!$K:$K))))&lt;1,(($T7-(MIN(Songs!$K:$K))+0.1)/(8-(MIN(Songs!$K:$K)))),1),0),0)</f>
        <v>0</v>
      </c>
      <c r="AA7" s="41">
        <f t="shared" si="2"/>
        <v>0</v>
      </c>
      <c r="AB7" s="41">
        <f t="shared" si="3"/>
        <v>0</v>
      </c>
      <c r="AC7" s="80">
        <f t="array" ref="AC7">IF(MAX(IF($E:$E=$E7,$AB:$AB),1,0)&gt;$AB7,0,$AB7)</f>
        <v>0</v>
      </c>
      <c r="AD7" s="58">
        <f t="shared" si="4"/>
        <v>1</v>
      </c>
      <c r="AE7" s="40" t="str">
        <f>IFERROR(VLOOKUP($E7,Songs!$A$1:$AG$178,3,FALSE),"")</f>
        <v/>
      </c>
      <c r="AF7" s="40"/>
      <c r="AG7" s="40">
        <f t="shared" si="5"/>
        <v>0</v>
      </c>
      <c r="AH7" s="40">
        <f t="shared" si="6"/>
        <v>0</v>
      </c>
      <c r="AI7" s="40">
        <f>100</f>
        <v>100</v>
      </c>
      <c r="AJ7" s="40">
        <f t="shared" si="7"/>
        <v>50</v>
      </c>
      <c r="AK7" s="40">
        <f t="shared" si="8"/>
        <v>0</v>
      </c>
      <c r="AL7" s="40">
        <f>0</f>
        <v>0</v>
      </c>
      <c r="AM7" s="40">
        <v>100</v>
      </c>
      <c r="AN7" s="40">
        <f>0</f>
        <v>0</v>
      </c>
      <c r="AO7" s="40">
        <f t="shared" si="9"/>
        <v>100</v>
      </c>
      <c r="AP7" s="40">
        <f t="shared" si="10"/>
        <v>0</v>
      </c>
      <c r="AQ7" s="40">
        <f t="shared" si="11"/>
        <v>0</v>
      </c>
      <c r="AR7" s="40">
        <f>0</f>
        <v>0</v>
      </c>
      <c r="AS7" s="40">
        <f t="shared" si="12"/>
        <v>0</v>
      </c>
      <c r="AT7" s="40">
        <f t="shared" si="13"/>
        <v>0</v>
      </c>
      <c r="AU7" s="40">
        <f t="shared" si="14"/>
        <v>0</v>
      </c>
      <c r="AV7" s="40">
        <f t="shared" si="15"/>
        <v>0</v>
      </c>
      <c r="AW7" s="40">
        <f>0</f>
        <v>0</v>
      </c>
      <c r="AX7" s="40">
        <f t="shared" si="16"/>
        <v>0</v>
      </c>
      <c r="AY7" s="40">
        <f t="shared" si="17"/>
        <v>0</v>
      </c>
      <c r="AZ7" s="40">
        <f t="shared" si="18"/>
        <v>0</v>
      </c>
      <c r="BA7" s="40">
        <f t="shared" si="19"/>
        <v>0</v>
      </c>
      <c r="BB7" s="40">
        <f>0</f>
        <v>0</v>
      </c>
      <c r="BC7" s="42">
        <f>600</f>
        <v>600</v>
      </c>
    </row>
    <row r="8" spans="2:55">
      <c r="B8" s="34" t="s">
        <v>300</v>
      </c>
      <c r="C8" s="35">
        <f>SUM($R:$R)</f>
        <v>0</v>
      </c>
      <c r="E8" s="39"/>
      <c r="F8" s="2"/>
      <c r="G8" s="2"/>
      <c r="H8" s="1"/>
      <c r="I8" s="1"/>
      <c r="J8" s="1"/>
      <c r="K8" s="95"/>
      <c r="L8" s="1"/>
      <c r="M8" s="40"/>
      <c r="N8" s="40" t="str">
        <f>IFERROR(VLOOKUP($E8,Songs!$A$1:$AG$178,7,FALSE),"")</f>
        <v/>
      </c>
      <c r="O8" s="40" t="str">
        <f>IFERROR(VLOOKUP($E8,Songs!$A$1:$AG$178,6,FALSE),"")</f>
        <v/>
      </c>
      <c r="P8" s="40" t="str">
        <f>IFERROR(VLOOKUP($E8,Songs!$A$1:$AG$178,8,FALSE),"")</f>
        <v/>
      </c>
      <c r="Q8" s="40" t="str">
        <f>IFERROR(VLOOKUP($E8,Songs!$A$1:$AG$178,22,FALSE),"")</f>
        <v/>
      </c>
      <c r="R8" s="40" t="str">
        <f>IFERROR(VLOOKUP($E8,Songs!$A$1:$AG$178,9,FALSE),"")</f>
        <v/>
      </c>
      <c r="S8" s="40">
        <f>IFERROR(VLOOKUP($E8,Songs!$A$1:$AG$178,17,FALSE),0)</f>
        <v>0</v>
      </c>
      <c r="T8" s="40" t="str">
        <f>IFERROR(VLOOKUP($E8,Songs!$A$1:$AG$178,11,FALSE),"")</f>
        <v/>
      </c>
      <c r="U8" s="40" t="str">
        <f>IFERROR(VLOOKUP($E8,Songs!$A$1:$AG$178,28,FALSE),"")</f>
        <v/>
      </c>
      <c r="V8" s="40">
        <f>IFERROR(VLOOKUP($E8,Songs!$A$1:$AG$178,29,FALSE),0)</f>
        <v>0</v>
      </c>
      <c r="W8" s="40">
        <f>IFERROR(VLOOKUP($E8,Songs!$A$1:$AG$178,30,FALSE),0)</f>
        <v>0</v>
      </c>
      <c r="X8" s="40">
        <f t="shared" si="0"/>
        <v>0</v>
      </c>
      <c r="Y8" s="40">
        <f t="shared" si="1"/>
        <v>0</v>
      </c>
      <c r="Z8" s="41">
        <f>IFERROR(ROUNDDOWN((SUM($U8:$X8)*(VLOOKUP($Q8,$B$16:$C$26,2,FALSE)/99)*K8)*IF((($T8-(MIN(Songs!$K:$K))+0.1)/(8-(MIN(Songs!$K:$K))))&lt;1,(($T8-(MIN(Songs!$K:$K))+0.1)/(8-(MIN(Songs!$K:$K)))),1),0),0)</f>
        <v>0</v>
      </c>
      <c r="AA8" s="41">
        <f t="shared" si="2"/>
        <v>0</v>
      </c>
      <c r="AB8" s="41">
        <f t="shared" si="3"/>
        <v>0</v>
      </c>
      <c r="AC8" s="80">
        <f t="array" ref="AC8">IF(MAX(IF($E:$E=$E8,$AB:$AB),1,0)&gt;$AB8,0,$AB8)</f>
        <v>0</v>
      </c>
      <c r="AD8" s="58">
        <f t="shared" si="4"/>
        <v>1</v>
      </c>
      <c r="AE8" s="40" t="str">
        <f>IFERROR(VLOOKUP($E8,Songs!$A$1:$AG$178,3,FALSE),"")</f>
        <v/>
      </c>
      <c r="AF8" s="40"/>
      <c r="AG8" s="40">
        <f t="shared" si="5"/>
        <v>0</v>
      </c>
      <c r="AH8" s="40">
        <f t="shared" si="6"/>
        <v>0</v>
      </c>
      <c r="AI8" s="40">
        <f>100</f>
        <v>100</v>
      </c>
      <c r="AJ8" s="40">
        <f t="shared" si="7"/>
        <v>50</v>
      </c>
      <c r="AK8" s="40">
        <f t="shared" si="8"/>
        <v>0</v>
      </c>
      <c r="AL8" s="40">
        <f>0</f>
        <v>0</v>
      </c>
      <c r="AM8" s="40">
        <v>100</v>
      </c>
      <c r="AN8" s="40">
        <f>0</f>
        <v>0</v>
      </c>
      <c r="AO8" s="40">
        <f t="shared" si="9"/>
        <v>100</v>
      </c>
      <c r="AP8" s="40">
        <f t="shared" si="10"/>
        <v>0</v>
      </c>
      <c r="AQ8" s="40">
        <f t="shared" si="11"/>
        <v>0</v>
      </c>
      <c r="AR8" s="40">
        <f>0</f>
        <v>0</v>
      </c>
      <c r="AS8" s="40">
        <f t="shared" si="12"/>
        <v>0</v>
      </c>
      <c r="AT8" s="40">
        <f t="shared" si="13"/>
        <v>0</v>
      </c>
      <c r="AU8" s="40">
        <f t="shared" si="14"/>
        <v>0</v>
      </c>
      <c r="AV8" s="40">
        <f t="shared" si="15"/>
        <v>0</v>
      </c>
      <c r="AW8" s="40">
        <f>0</f>
        <v>0</v>
      </c>
      <c r="AX8" s="40">
        <f t="shared" si="16"/>
        <v>0</v>
      </c>
      <c r="AY8" s="40">
        <f t="shared" si="17"/>
        <v>0</v>
      </c>
      <c r="AZ8" s="40">
        <f t="shared" si="18"/>
        <v>0</v>
      </c>
      <c r="BA8" s="40">
        <f t="shared" si="19"/>
        <v>0</v>
      </c>
      <c r="BB8" s="40">
        <f>0</f>
        <v>0</v>
      </c>
      <c r="BC8" s="42">
        <f>600</f>
        <v>600</v>
      </c>
    </row>
    <row r="9" spans="2:55">
      <c r="B9" s="34" t="s">
        <v>301</v>
      </c>
      <c r="C9" s="35">
        <f>IFERROR(ROUNDDOWN(AVERAGE($P:$P),0),0)</f>
        <v>0</v>
      </c>
      <c r="E9" s="48"/>
      <c r="F9" s="2"/>
      <c r="G9" s="2"/>
      <c r="H9" s="1"/>
      <c r="I9" s="1"/>
      <c r="J9" s="1"/>
      <c r="K9" s="95"/>
      <c r="L9" s="1"/>
      <c r="M9" s="40"/>
      <c r="N9" s="40" t="str">
        <f>IFERROR(VLOOKUP($E9,Songs!$A$1:$AG$178,7,FALSE),"")</f>
        <v/>
      </c>
      <c r="O9" s="40" t="str">
        <f>IFERROR(VLOOKUP($E9,Songs!$A$1:$AG$178,6,FALSE),"")</f>
        <v/>
      </c>
      <c r="P9" s="40" t="str">
        <f>IFERROR(VLOOKUP($E9,Songs!$A$1:$AG$178,8,FALSE),"")</f>
        <v/>
      </c>
      <c r="Q9" s="40" t="str">
        <f>IFERROR(VLOOKUP($E9,Songs!$A$1:$AG$178,22,FALSE),"")</f>
        <v/>
      </c>
      <c r="R9" s="40" t="str">
        <f>IFERROR(VLOOKUP($E9,Songs!$A$1:$AG$178,9,FALSE),"")</f>
        <v/>
      </c>
      <c r="S9" s="40">
        <f>IFERROR(VLOOKUP($E9,Songs!$A$1:$AG$178,17,FALSE),0)</f>
        <v>0</v>
      </c>
      <c r="T9" s="40" t="str">
        <f>IFERROR(VLOOKUP($E9,Songs!$A$1:$AG$178,11,FALSE),"")</f>
        <v/>
      </c>
      <c r="U9" s="40" t="str">
        <f>IFERROR(VLOOKUP($E9,Songs!$A$1:$AG$178,28,FALSE),"")</f>
        <v/>
      </c>
      <c r="V9" s="40">
        <f>IFERROR(VLOOKUP($E9,Songs!$A$1:$AG$178,29,FALSE),0)</f>
        <v>0</v>
      </c>
      <c r="W9" s="40">
        <f>IFERROR(VLOOKUP($E9,Songs!$A$1:$AG$178,30,FALSE),0)</f>
        <v>0</v>
      </c>
      <c r="X9" s="40">
        <f t="shared" si="0"/>
        <v>0</v>
      </c>
      <c r="Y9" s="40">
        <f t="shared" si="1"/>
        <v>0</v>
      </c>
      <c r="Z9" s="41">
        <f>IFERROR(ROUNDDOWN((SUM($U9:$X9)*(VLOOKUP($Q9,$B$16:$C$26,2,FALSE)/99)*K9)*IF((($T9-(MIN(Songs!$K:$K))+0.1)/(8-(MIN(Songs!$K:$K))))&lt;1,(($T9-(MIN(Songs!$K:$K))+0.1)/(8-(MIN(Songs!$K:$K)))),1),0),0)</f>
        <v>0</v>
      </c>
      <c r="AA9" s="41">
        <f t="shared" si="2"/>
        <v>0</v>
      </c>
      <c r="AB9" s="41">
        <f t="shared" si="3"/>
        <v>0</v>
      </c>
      <c r="AC9" s="80">
        <f t="array" ref="AC9">IF(MAX(IF($E:$E=$E9,$AB:$AB),1,0)&gt;$AB9,0,$AB9)</f>
        <v>0</v>
      </c>
      <c r="AD9" s="58">
        <f t="shared" si="4"/>
        <v>1</v>
      </c>
      <c r="AE9" s="40" t="str">
        <f>IFERROR(VLOOKUP($E9,Songs!$A$1:$AG$178,3,FALSE),"")</f>
        <v/>
      </c>
      <c r="AF9" s="40"/>
      <c r="AG9" s="40">
        <f t="shared" si="5"/>
        <v>0</v>
      </c>
      <c r="AH9" s="40">
        <f t="shared" si="6"/>
        <v>0</v>
      </c>
      <c r="AI9" s="40">
        <f>100</f>
        <v>100</v>
      </c>
      <c r="AJ9" s="40">
        <f t="shared" si="7"/>
        <v>50</v>
      </c>
      <c r="AK9" s="40">
        <f t="shared" si="8"/>
        <v>0</v>
      </c>
      <c r="AL9" s="40">
        <f>0</f>
        <v>0</v>
      </c>
      <c r="AM9" s="40">
        <v>100</v>
      </c>
      <c r="AN9" s="40">
        <f>0</f>
        <v>0</v>
      </c>
      <c r="AO9" s="40">
        <f t="shared" si="9"/>
        <v>100</v>
      </c>
      <c r="AP9" s="40">
        <f t="shared" si="10"/>
        <v>0</v>
      </c>
      <c r="AQ9" s="40">
        <f t="shared" si="11"/>
        <v>0</v>
      </c>
      <c r="AR9" s="40">
        <f>0</f>
        <v>0</v>
      </c>
      <c r="AS9" s="40">
        <f t="shared" si="12"/>
        <v>0</v>
      </c>
      <c r="AT9" s="40">
        <f t="shared" si="13"/>
        <v>0</v>
      </c>
      <c r="AU9" s="40">
        <f t="shared" si="14"/>
        <v>0</v>
      </c>
      <c r="AV9" s="40">
        <f t="shared" si="15"/>
        <v>0</v>
      </c>
      <c r="AW9" s="40">
        <f>0</f>
        <v>0</v>
      </c>
      <c r="AX9" s="40">
        <f t="shared" si="16"/>
        <v>0</v>
      </c>
      <c r="AY9" s="40">
        <f t="shared" si="17"/>
        <v>0</v>
      </c>
      <c r="AZ9" s="40">
        <f t="shared" si="18"/>
        <v>0</v>
      </c>
      <c r="BA9" s="40">
        <f t="shared" si="19"/>
        <v>0</v>
      </c>
      <c r="BB9" s="40">
        <f>0</f>
        <v>0</v>
      </c>
      <c r="BC9" s="42">
        <f>600</f>
        <v>600</v>
      </c>
    </row>
    <row r="10" spans="2:55">
      <c r="B10" s="34" t="s">
        <v>291</v>
      </c>
      <c r="C10" s="35">
        <f>SUM($AB:$AB)</f>
        <v>0</v>
      </c>
      <c r="E10" s="39"/>
      <c r="F10" s="1"/>
      <c r="G10" s="1"/>
      <c r="H10" s="1"/>
      <c r="I10" s="1"/>
      <c r="J10" s="1"/>
      <c r="K10" s="95"/>
      <c r="L10" s="1"/>
      <c r="M10" s="40"/>
      <c r="N10" s="40" t="str">
        <f>IFERROR(VLOOKUP($E10,Songs!$A$1:$AG$178,7,FALSE),"")</f>
        <v/>
      </c>
      <c r="O10" s="40" t="str">
        <f>IFERROR(VLOOKUP($E10,Songs!$A$1:$AG$178,6,FALSE),"")</f>
        <v/>
      </c>
      <c r="P10" s="40" t="str">
        <f>IFERROR(VLOOKUP($E10,Songs!$A$1:$AG$178,8,FALSE),"")</f>
        <v/>
      </c>
      <c r="Q10" s="40" t="str">
        <f>IFERROR(VLOOKUP($E10,Songs!$A$1:$AG$178,22,FALSE),"")</f>
        <v/>
      </c>
      <c r="R10" s="40" t="str">
        <f>IFERROR(VLOOKUP($E10,Songs!$A$1:$AG$178,9,FALSE),"")</f>
        <v/>
      </c>
      <c r="S10" s="40">
        <f>IFERROR(VLOOKUP($E10,Songs!$A$1:$AG$178,17,FALSE),0)</f>
        <v>0</v>
      </c>
      <c r="T10" s="40" t="str">
        <f>IFERROR(VLOOKUP($E10,Songs!$A$1:$AG$178,11,FALSE),"")</f>
        <v/>
      </c>
      <c r="U10" s="40" t="str">
        <f>IFERROR(VLOOKUP($E10,Songs!$A$1:$AG$178,28,FALSE),"")</f>
        <v/>
      </c>
      <c r="V10" s="40">
        <f>IFERROR(VLOOKUP($E10,Songs!$A$1:$AG$178,29,FALSE),0)</f>
        <v>0</v>
      </c>
      <c r="W10" s="40">
        <f>IFERROR(VLOOKUP($E10,Songs!$A$1:$AG$178,30,FALSE),0)</f>
        <v>0</v>
      </c>
      <c r="X10" s="40">
        <f t="shared" si="0"/>
        <v>0</v>
      </c>
      <c r="Y10" s="40">
        <f t="shared" si="1"/>
        <v>0</v>
      </c>
      <c r="Z10" s="41">
        <f>IFERROR(ROUNDDOWN((SUM($U10:$X10)*(VLOOKUP($Q10,$B$16:$C$26,2,FALSE)/99)*K10)*IF((($T10-(MIN(Songs!$K:$K))+0.1)/(8-(MIN(Songs!$K:$K))))&lt;1,(($T10-(MIN(Songs!$K:$K))+0.1)/(8-(MIN(Songs!$K:$K)))),1),0),0)</f>
        <v>0</v>
      </c>
      <c r="AA10" s="41">
        <f t="shared" si="2"/>
        <v>0</v>
      </c>
      <c r="AB10" s="41">
        <f t="shared" si="3"/>
        <v>0</v>
      </c>
      <c r="AC10" s="80">
        <f t="array" ref="AC10">IF(MAX(IF($E:$E=$E10,$AB:$AB),1,0)&gt;$AB10,0,$AB10)</f>
        <v>0</v>
      </c>
      <c r="AD10" s="58">
        <f t="shared" si="4"/>
        <v>1</v>
      </c>
      <c r="AE10" s="40" t="str">
        <f>IFERROR(VLOOKUP($E10,Songs!$A$1:$AG$178,3,FALSE),"")</f>
        <v/>
      </c>
      <c r="AF10" s="40"/>
      <c r="AG10" s="40">
        <f t="shared" si="5"/>
        <v>0</v>
      </c>
      <c r="AH10" s="40">
        <f t="shared" si="6"/>
        <v>0</v>
      </c>
      <c r="AI10" s="40">
        <f>100</f>
        <v>100</v>
      </c>
      <c r="AJ10" s="40">
        <f t="shared" si="7"/>
        <v>50</v>
      </c>
      <c r="AK10" s="40">
        <f t="shared" si="8"/>
        <v>0</v>
      </c>
      <c r="AL10" s="40">
        <f>0</f>
        <v>0</v>
      </c>
      <c r="AM10" s="40">
        <v>100</v>
      </c>
      <c r="AN10" s="40">
        <f>0</f>
        <v>0</v>
      </c>
      <c r="AO10" s="40">
        <f t="shared" si="9"/>
        <v>100</v>
      </c>
      <c r="AP10" s="40">
        <f t="shared" si="10"/>
        <v>0</v>
      </c>
      <c r="AQ10" s="40">
        <f t="shared" si="11"/>
        <v>0</v>
      </c>
      <c r="AR10" s="40">
        <f>0</f>
        <v>0</v>
      </c>
      <c r="AS10" s="40">
        <f t="shared" si="12"/>
        <v>0</v>
      </c>
      <c r="AT10" s="40">
        <f t="shared" si="13"/>
        <v>0</v>
      </c>
      <c r="AU10" s="40">
        <f t="shared" si="14"/>
        <v>0</v>
      </c>
      <c r="AV10" s="40">
        <f t="shared" si="15"/>
        <v>0</v>
      </c>
      <c r="AW10" s="40">
        <f>0</f>
        <v>0</v>
      </c>
      <c r="AX10" s="40">
        <f t="shared" si="16"/>
        <v>0</v>
      </c>
      <c r="AY10" s="40">
        <f t="shared" si="17"/>
        <v>0</v>
      </c>
      <c r="AZ10" s="40">
        <f t="shared" si="18"/>
        <v>0</v>
      </c>
      <c r="BA10" s="40">
        <f t="shared" si="19"/>
        <v>0</v>
      </c>
      <c r="BB10" s="40">
        <f>0</f>
        <v>0</v>
      </c>
      <c r="BC10" s="42">
        <f>600</f>
        <v>600</v>
      </c>
    </row>
    <row r="11" spans="2:55">
      <c r="B11" s="34" t="s">
        <v>292</v>
      </c>
      <c r="C11" s="36">
        <f>SUMIF($AD:$AD,"&lt;8",$AC:$AC)</f>
        <v>0</v>
      </c>
      <c r="E11" s="48"/>
      <c r="F11" s="1"/>
      <c r="G11" s="1"/>
      <c r="H11" s="1"/>
      <c r="I11" s="1"/>
      <c r="J11" s="1"/>
      <c r="K11" s="95"/>
      <c r="L11" s="1"/>
      <c r="M11" s="40"/>
      <c r="N11" s="40" t="str">
        <f>IFERROR(VLOOKUP($E11,Songs!$A$1:$AG$178,7,FALSE),"")</f>
        <v/>
      </c>
      <c r="O11" s="40" t="str">
        <f>IFERROR(VLOOKUP($E11,Songs!$A$1:$AG$178,6,FALSE),"")</f>
        <v/>
      </c>
      <c r="P11" s="40" t="str">
        <f>IFERROR(VLOOKUP($E11,Songs!$A$1:$AG$178,8,FALSE),"")</f>
        <v/>
      </c>
      <c r="Q11" s="40" t="str">
        <f>IFERROR(VLOOKUP($E11,Songs!$A$1:$AG$178,22,FALSE),"")</f>
        <v/>
      </c>
      <c r="R11" s="40" t="str">
        <f>IFERROR(VLOOKUP($E11,Songs!$A$1:$AG$178,9,FALSE),"")</f>
        <v/>
      </c>
      <c r="S11" s="40">
        <f>IFERROR(VLOOKUP($E11,Songs!$A$1:$AG$178,17,FALSE),0)</f>
        <v>0</v>
      </c>
      <c r="T11" s="40" t="str">
        <f>IFERROR(VLOOKUP($E11,Songs!$A$1:$AG$178,11,FALSE),"")</f>
        <v/>
      </c>
      <c r="U11" s="40" t="str">
        <f>IFERROR(VLOOKUP($E11,Songs!$A$1:$AG$178,28,FALSE),"")</f>
        <v/>
      </c>
      <c r="V11" s="40">
        <f>IFERROR(VLOOKUP($E11,Songs!$A$1:$AG$178,29,FALSE),0)</f>
        <v>0</v>
      </c>
      <c r="W11" s="40">
        <f>IFERROR(VLOOKUP($E11,Songs!$A$1:$AG$178,30,FALSE),0)</f>
        <v>0</v>
      </c>
      <c r="X11" s="40">
        <f t="shared" si="0"/>
        <v>0</v>
      </c>
      <c r="Y11" s="40">
        <f t="shared" si="1"/>
        <v>0</v>
      </c>
      <c r="Z11" s="41">
        <f>IFERROR(ROUNDDOWN((SUM($U11:$X11)*(VLOOKUP($Q11,$B$16:$C$26,2,FALSE)/99)*K11)*IF((($T11-(MIN(Songs!$K:$K))+0.1)/(8-(MIN(Songs!$K:$K))))&lt;1,(($T11-(MIN(Songs!$K:$K))+0.1)/(8-(MIN(Songs!$K:$K)))),1),0),0)</f>
        <v>0</v>
      </c>
      <c r="AA11" s="41">
        <f t="shared" si="2"/>
        <v>0</v>
      </c>
      <c r="AB11" s="41">
        <f t="shared" si="3"/>
        <v>0</v>
      </c>
      <c r="AC11" s="80">
        <f t="array" ref="AC11">IF(MAX(IF($E:$E=$E11,$AB:$AB),1,0)&gt;$AB11,0,$AB11)</f>
        <v>0</v>
      </c>
      <c r="AD11" s="58">
        <f t="shared" si="4"/>
        <v>1</v>
      </c>
      <c r="AE11" s="40" t="str">
        <f>IFERROR(VLOOKUP($E11,Songs!$A$1:$AG$178,3,FALSE),"")</f>
        <v/>
      </c>
      <c r="AF11" s="40"/>
      <c r="AG11" s="40">
        <f t="shared" si="5"/>
        <v>0</v>
      </c>
      <c r="AH11" s="40">
        <f t="shared" si="6"/>
        <v>0</v>
      </c>
      <c r="AI11" s="40">
        <f>100</f>
        <v>100</v>
      </c>
      <c r="AJ11" s="40">
        <f t="shared" si="7"/>
        <v>50</v>
      </c>
      <c r="AK11" s="40">
        <f t="shared" si="8"/>
        <v>0</v>
      </c>
      <c r="AL11" s="40">
        <f>0</f>
        <v>0</v>
      </c>
      <c r="AM11" s="40">
        <v>100</v>
      </c>
      <c r="AN11" s="40">
        <f>0</f>
        <v>0</v>
      </c>
      <c r="AO11" s="40">
        <f t="shared" si="9"/>
        <v>100</v>
      </c>
      <c r="AP11" s="40">
        <f t="shared" si="10"/>
        <v>0</v>
      </c>
      <c r="AQ11" s="40">
        <f t="shared" si="11"/>
        <v>0</v>
      </c>
      <c r="AR11" s="40">
        <f>0</f>
        <v>0</v>
      </c>
      <c r="AS11" s="40">
        <f t="shared" si="12"/>
        <v>0</v>
      </c>
      <c r="AT11" s="40">
        <f t="shared" si="13"/>
        <v>0</v>
      </c>
      <c r="AU11" s="40">
        <f t="shared" si="14"/>
        <v>0</v>
      </c>
      <c r="AV11" s="40">
        <f t="shared" si="15"/>
        <v>0</v>
      </c>
      <c r="AW11" s="40">
        <f>0</f>
        <v>0</v>
      </c>
      <c r="AX11" s="40">
        <f t="shared" si="16"/>
        <v>0</v>
      </c>
      <c r="AY11" s="40">
        <f t="shared" si="17"/>
        <v>0</v>
      </c>
      <c r="AZ11" s="40">
        <f t="shared" si="18"/>
        <v>0</v>
      </c>
      <c r="BA11" s="40">
        <f t="shared" si="19"/>
        <v>0</v>
      </c>
      <c r="BB11" s="40">
        <f>0</f>
        <v>0</v>
      </c>
      <c r="BC11" s="42">
        <f>600</f>
        <v>600</v>
      </c>
    </row>
    <row r="12" spans="2:55">
      <c r="E12" s="39"/>
      <c r="F12" s="1"/>
      <c r="G12" s="1"/>
      <c r="H12" s="1"/>
      <c r="I12" s="1"/>
      <c r="J12" s="1"/>
      <c r="K12" s="95"/>
      <c r="L12" s="1"/>
      <c r="M12" s="40"/>
      <c r="N12" s="40" t="str">
        <f>IFERROR(VLOOKUP($E12,Songs!$A$1:$AG$178,7,FALSE),"")</f>
        <v/>
      </c>
      <c r="O12" s="40" t="str">
        <f>IFERROR(VLOOKUP($E12,Songs!$A$1:$AG$178,6,FALSE),"")</f>
        <v/>
      </c>
      <c r="P12" s="40" t="str">
        <f>IFERROR(VLOOKUP($E12,Songs!$A$1:$AG$178,8,FALSE),"")</f>
        <v/>
      </c>
      <c r="Q12" s="40" t="str">
        <f>IFERROR(VLOOKUP($E12,Songs!$A$1:$AG$178,22,FALSE),"")</f>
        <v/>
      </c>
      <c r="R12" s="40" t="str">
        <f>IFERROR(VLOOKUP($E12,Songs!$A$1:$AG$178,9,FALSE),"")</f>
        <v/>
      </c>
      <c r="S12" s="40">
        <f>IFERROR(VLOOKUP($E12,Songs!$A$1:$AG$178,17,FALSE),0)</f>
        <v>0</v>
      </c>
      <c r="T12" s="40" t="str">
        <f>IFERROR(VLOOKUP($E12,Songs!$A$1:$AG$178,11,FALSE),"")</f>
        <v/>
      </c>
      <c r="U12" s="40" t="str">
        <f>IFERROR(VLOOKUP($E12,Songs!$A$1:$AG$178,28,FALSE),"")</f>
        <v/>
      </c>
      <c r="V12" s="40">
        <f>IFERROR(VLOOKUP($E12,Songs!$A$1:$AG$178,29,FALSE),0)</f>
        <v>0</v>
      </c>
      <c r="W12" s="40">
        <f>IFERROR(VLOOKUP($E12,Songs!$A$1:$AG$178,30,FALSE),0)</f>
        <v>0</v>
      </c>
      <c r="X12" s="40">
        <f t="shared" si="0"/>
        <v>0</v>
      </c>
      <c r="Y12" s="40">
        <f t="shared" si="1"/>
        <v>0</v>
      </c>
      <c r="Z12" s="41">
        <f>IFERROR(ROUNDDOWN((SUM($U12:$X12)*(VLOOKUP($Q12,$B$16:$C$26,2,FALSE)/99)*K12)*IF((($T12-(MIN(Songs!$K:$K))+0.1)/(8-(MIN(Songs!$K:$K))))&lt;1,(($T12-(MIN(Songs!$K:$K))+0.1)/(8-(MIN(Songs!$K:$K)))),1),0),0)</f>
        <v>0</v>
      </c>
      <c r="AA12" s="41">
        <f t="shared" si="2"/>
        <v>0</v>
      </c>
      <c r="AB12" s="41">
        <f t="shared" si="3"/>
        <v>0</v>
      </c>
      <c r="AC12" s="80">
        <f t="array" ref="AC12">IF(MAX(IF($E:$E=$E12,$AB:$AB),1,0)&gt;$AB12,0,$AB12)</f>
        <v>0</v>
      </c>
      <c r="AD12" s="58">
        <f t="shared" si="4"/>
        <v>1</v>
      </c>
      <c r="AE12" s="40" t="str">
        <f>IFERROR(VLOOKUP($E12,Songs!$A$1:$AG$178,3,FALSE),"")</f>
        <v/>
      </c>
      <c r="AF12" s="40"/>
      <c r="AG12" s="40">
        <f t="shared" si="5"/>
        <v>0</v>
      </c>
      <c r="AH12" s="40">
        <f t="shared" si="6"/>
        <v>0</v>
      </c>
      <c r="AI12" s="40">
        <f>100</f>
        <v>100</v>
      </c>
      <c r="AJ12" s="40">
        <f t="shared" si="7"/>
        <v>50</v>
      </c>
      <c r="AK12" s="40">
        <f t="shared" si="8"/>
        <v>0</v>
      </c>
      <c r="AL12" s="40">
        <f>0</f>
        <v>0</v>
      </c>
      <c r="AM12" s="40">
        <v>100</v>
      </c>
      <c r="AN12" s="40">
        <f>0</f>
        <v>0</v>
      </c>
      <c r="AO12" s="40">
        <f t="shared" si="9"/>
        <v>100</v>
      </c>
      <c r="AP12" s="40">
        <f t="shared" si="10"/>
        <v>0</v>
      </c>
      <c r="AQ12" s="40">
        <f t="shared" si="11"/>
        <v>0</v>
      </c>
      <c r="AR12" s="40">
        <f>0</f>
        <v>0</v>
      </c>
      <c r="AS12" s="40">
        <f t="shared" si="12"/>
        <v>0</v>
      </c>
      <c r="AT12" s="40">
        <f t="shared" si="13"/>
        <v>0</v>
      </c>
      <c r="AU12" s="40">
        <f t="shared" si="14"/>
        <v>0</v>
      </c>
      <c r="AV12" s="40">
        <f t="shared" si="15"/>
        <v>0</v>
      </c>
      <c r="AW12" s="40">
        <f>0</f>
        <v>0</v>
      </c>
      <c r="AX12" s="40">
        <f t="shared" si="16"/>
        <v>0</v>
      </c>
      <c r="AY12" s="40">
        <f t="shared" si="17"/>
        <v>0</v>
      </c>
      <c r="AZ12" s="40">
        <f t="shared" si="18"/>
        <v>0</v>
      </c>
      <c r="BA12" s="40">
        <f t="shared" si="19"/>
        <v>0</v>
      </c>
      <c r="BB12" s="40">
        <f>0</f>
        <v>0</v>
      </c>
      <c r="BC12" s="42">
        <f>600</f>
        <v>600</v>
      </c>
    </row>
    <row r="13" spans="2:55">
      <c r="E13" s="48"/>
      <c r="F13" s="1"/>
      <c r="G13" s="1"/>
      <c r="H13" s="1"/>
      <c r="I13" s="1"/>
      <c r="J13" s="1"/>
      <c r="K13" s="95"/>
      <c r="L13" s="1"/>
      <c r="M13" s="40"/>
      <c r="N13" s="40" t="str">
        <f>IFERROR(VLOOKUP($E13,Songs!$A$1:$AG$178,7,FALSE),"")</f>
        <v/>
      </c>
      <c r="O13" s="40" t="str">
        <f>IFERROR(VLOOKUP($E13,Songs!$A$1:$AG$178,6,FALSE),"")</f>
        <v/>
      </c>
      <c r="P13" s="40" t="str">
        <f>IFERROR(VLOOKUP($E13,Songs!$A$1:$AG$178,8,FALSE),"")</f>
        <v/>
      </c>
      <c r="Q13" s="40" t="str">
        <f>IFERROR(VLOOKUP($E13,Songs!$A$1:$AG$178,22,FALSE),"")</f>
        <v/>
      </c>
      <c r="R13" s="40" t="str">
        <f>IFERROR(VLOOKUP($E13,Songs!$A$1:$AG$178,9,FALSE),"")</f>
        <v/>
      </c>
      <c r="S13" s="40">
        <f>IFERROR(VLOOKUP($E13,Songs!$A$1:$AG$178,17,FALSE),0)</f>
        <v>0</v>
      </c>
      <c r="T13" s="40" t="str">
        <f>IFERROR(VLOOKUP($E13,Songs!$A$1:$AG$178,11,FALSE),"")</f>
        <v/>
      </c>
      <c r="U13" s="40" t="str">
        <f>IFERROR(VLOOKUP($E13,Songs!$A$1:$AG$178,28,FALSE),"")</f>
        <v/>
      </c>
      <c r="V13" s="40">
        <f>IFERROR(VLOOKUP($E13,Songs!$A$1:$AG$178,29,FALSE),0)</f>
        <v>0</v>
      </c>
      <c r="W13" s="40">
        <f>IFERROR(VLOOKUP($E13,Songs!$A$1:$AG$178,30,FALSE),0)</f>
        <v>0</v>
      </c>
      <c r="X13" s="40">
        <f t="shared" si="0"/>
        <v>0</v>
      </c>
      <c r="Y13" s="40">
        <f t="shared" si="1"/>
        <v>0</v>
      </c>
      <c r="Z13" s="41">
        <f>IFERROR(ROUNDDOWN((SUM($U13:$X13)*(VLOOKUP($Q13,$B$16:$C$26,2,FALSE)/99)*K13)*IF((($T13-(MIN(Songs!$K:$K))+0.1)/(8-(MIN(Songs!$K:$K))))&lt;1,(($T13-(MIN(Songs!$K:$K))+0.1)/(8-(MIN(Songs!$K:$K)))),1),0),0)</f>
        <v>0</v>
      </c>
      <c r="AA13" s="41">
        <f t="shared" si="2"/>
        <v>0</v>
      </c>
      <c r="AB13" s="41">
        <f t="shared" si="3"/>
        <v>0</v>
      </c>
      <c r="AC13" s="80">
        <f t="array" ref="AC13">IF(MAX(IF($E:$E=$E13,$AB:$AB),1,0)&gt;$AB13,0,$AB13)</f>
        <v>0</v>
      </c>
      <c r="AD13" s="58">
        <f t="shared" si="4"/>
        <v>1</v>
      </c>
      <c r="AE13" s="40" t="str">
        <f>IFERROR(VLOOKUP($E13,Songs!$A$1:$AG$178,3,FALSE),"")</f>
        <v/>
      </c>
      <c r="AF13" s="40"/>
      <c r="AG13" s="40">
        <f t="shared" si="5"/>
        <v>0</v>
      </c>
      <c r="AH13" s="40">
        <f t="shared" si="6"/>
        <v>0</v>
      </c>
      <c r="AI13" s="40">
        <f>100</f>
        <v>100</v>
      </c>
      <c r="AJ13" s="40">
        <f t="shared" si="7"/>
        <v>50</v>
      </c>
      <c r="AK13" s="40">
        <f t="shared" si="8"/>
        <v>0</v>
      </c>
      <c r="AL13" s="40">
        <f>0</f>
        <v>0</v>
      </c>
      <c r="AM13" s="40">
        <v>100</v>
      </c>
      <c r="AN13" s="40">
        <f>0</f>
        <v>0</v>
      </c>
      <c r="AO13" s="40">
        <f t="shared" si="9"/>
        <v>100</v>
      </c>
      <c r="AP13" s="40">
        <f t="shared" si="10"/>
        <v>0</v>
      </c>
      <c r="AQ13" s="40">
        <f t="shared" si="11"/>
        <v>0</v>
      </c>
      <c r="AR13" s="40">
        <f>0</f>
        <v>0</v>
      </c>
      <c r="AS13" s="40">
        <f t="shared" si="12"/>
        <v>0</v>
      </c>
      <c r="AT13" s="40">
        <f t="shared" si="13"/>
        <v>0</v>
      </c>
      <c r="AU13" s="40">
        <f t="shared" si="14"/>
        <v>0</v>
      </c>
      <c r="AV13" s="40">
        <f t="shared" si="15"/>
        <v>0</v>
      </c>
      <c r="AW13" s="40">
        <f>0</f>
        <v>0</v>
      </c>
      <c r="AX13" s="40">
        <f t="shared" si="16"/>
        <v>0</v>
      </c>
      <c r="AY13" s="40">
        <f t="shared" si="17"/>
        <v>0</v>
      </c>
      <c r="AZ13" s="40">
        <f t="shared" si="18"/>
        <v>0</v>
      </c>
      <c r="BA13" s="40">
        <f t="shared" si="19"/>
        <v>0</v>
      </c>
      <c r="BB13" s="40">
        <f>0</f>
        <v>0</v>
      </c>
      <c r="BC13" s="42">
        <f>600</f>
        <v>600</v>
      </c>
    </row>
    <row r="14" spans="2:55">
      <c r="B14" s="37" t="s">
        <v>296</v>
      </c>
      <c r="C14" s="38"/>
      <c r="E14" s="39"/>
      <c r="F14" s="1"/>
      <c r="G14" s="1"/>
      <c r="H14" s="1"/>
      <c r="I14" s="1"/>
      <c r="J14" s="1"/>
      <c r="K14" s="95"/>
      <c r="L14" s="1"/>
      <c r="M14" s="40"/>
      <c r="N14" s="40" t="str">
        <f>IFERROR(VLOOKUP($E14,Songs!$A$1:$AG$178,7,FALSE),"")</f>
        <v/>
      </c>
      <c r="O14" s="40" t="str">
        <f>IFERROR(VLOOKUP($E14,Songs!$A$1:$AG$178,6,FALSE),"")</f>
        <v/>
      </c>
      <c r="P14" s="40" t="str">
        <f>IFERROR(VLOOKUP($E14,Songs!$A$1:$AG$178,8,FALSE),"")</f>
        <v/>
      </c>
      <c r="Q14" s="40" t="str">
        <f>IFERROR(VLOOKUP($E14,Songs!$A$1:$AG$178,22,FALSE),"")</f>
        <v/>
      </c>
      <c r="R14" s="40" t="str">
        <f>IFERROR(VLOOKUP($E14,Songs!$A$1:$AG$178,9,FALSE),"")</f>
        <v/>
      </c>
      <c r="S14" s="40">
        <f>IFERROR(VLOOKUP($E14,Songs!$A$1:$AG$178,17,FALSE),0)</f>
        <v>0</v>
      </c>
      <c r="T14" s="40" t="str">
        <f>IFERROR(VLOOKUP($E14,Songs!$A$1:$AG$178,11,FALSE),"")</f>
        <v/>
      </c>
      <c r="U14" s="40" t="str">
        <f>IFERROR(VLOOKUP($E14,Songs!$A$1:$AG$178,28,FALSE),"")</f>
        <v/>
      </c>
      <c r="V14" s="40">
        <f>IFERROR(VLOOKUP($E14,Songs!$A$1:$AG$178,29,FALSE),0)</f>
        <v>0</v>
      </c>
      <c r="W14" s="40">
        <f>IFERROR(VLOOKUP($E14,Songs!$A$1:$AG$178,30,FALSE),0)</f>
        <v>0</v>
      </c>
      <c r="X14" s="40">
        <f t="shared" si="0"/>
        <v>0</v>
      </c>
      <c r="Y14" s="40">
        <f t="shared" si="1"/>
        <v>0</v>
      </c>
      <c r="Z14" s="41">
        <f>IFERROR(ROUNDDOWN((SUM($U14:$X14)*(VLOOKUP($Q14,$B$16:$C$26,2,FALSE)/99)*K14)*IF((($T14-(MIN(Songs!$K:$K))+0.1)/(8-(MIN(Songs!$K:$K))))&lt;1,(($T14-(MIN(Songs!$K:$K))+0.1)/(8-(MIN(Songs!$K:$K)))),1),0),0)</f>
        <v>0</v>
      </c>
      <c r="AA14" s="41">
        <f t="shared" si="2"/>
        <v>0</v>
      </c>
      <c r="AB14" s="41">
        <f t="shared" si="3"/>
        <v>0</v>
      </c>
      <c r="AC14" s="80">
        <f t="array" ref="AC14">IF(MAX(IF($E:$E=$E14,$AB:$AB),1,0)&gt;$AB14,0,$AB14)</f>
        <v>0</v>
      </c>
      <c r="AD14" s="58">
        <f t="shared" si="4"/>
        <v>1</v>
      </c>
      <c r="AE14" s="40" t="str">
        <f>IFERROR(VLOOKUP($E14,Songs!$A$1:$AG$178,3,FALSE),"")</f>
        <v/>
      </c>
      <c r="AF14" s="40"/>
      <c r="AG14" s="40">
        <f t="shared" si="5"/>
        <v>0</v>
      </c>
      <c r="AH14" s="40">
        <f t="shared" si="6"/>
        <v>0</v>
      </c>
      <c r="AI14" s="40">
        <f>100</f>
        <v>100</v>
      </c>
      <c r="AJ14" s="40">
        <f t="shared" si="7"/>
        <v>50</v>
      </c>
      <c r="AK14" s="40">
        <f t="shared" si="8"/>
        <v>0</v>
      </c>
      <c r="AL14" s="40">
        <f>0</f>
        <v>0</v>
      </c>
      <c r="AM14" s="40">
        <v>100</v>
      </c>
      <c r="AN14" s="40">
        <f>0</f>
        <v>0</v>
      </c>
      <c r="AO14" s="40">
        <f t="shared" si="9"/>
        <v>100</v>
      </c>
      <c r="AP14" s="40">
        <f t="shared" si="10"/>
        <v>0</v>
      </c>
      <c r="AQ14" s="40">
        <f t="shared" si="11"/>
        <v>0</v>
      </c>
      <c r="AR14" s="40">
        <f>0</f>
        <v>0</v>
      </c>
      <c r="AS14" s="40">
        <f t="shared" si="12"/>
        <v>0</v>
      </c>
      <c r="AT14" s="40">
        <f t="shared" si="13"/>
        <v>0</v>
      </c>
      <c r="AU14" s="40">
        <f t="shared" si="14"/>
        <v>0</v>
      </c>
      <c r="AV14" s="40">
        <f t="shared" si="15"/>
        <v>0</v>
      </c>
      <c r="AW14" s="40">
        <f>0</f>
        <v>0</v>
      </c>
      <c r="AX14" s="40">
        <f t="shared" si="16"/>
        <v>0</v>
      </c>
      <c r="AY14" s="40">
        <f t="shared" si="17"/>
        <v>0</v>
      </c>
      <c r="AZ14" s="40">
        <f t="shared" si="18"/>
        <v>0</v>
      </c>
      <c r="BA14" s="40">
        <f t="shared" si="19"/>
        <v>0</v>
      </c>
      <c r="BB14" s="40">
        <f>0</f>
        <v>0</v>
      </c>
      <c r="BC14" s="42">
        <f>600</f>
        <v>600</v>
      </c>
    </row>
    <row r="15" spans="2:55">
      <c r="B15" s="34" t="s">
        <v>299</v>
      </c>
      <c r="C15" s="35">
        <v>1</v>
      </c>
      <c r="E15" s="48"/>
      <c r="F15" s="1"/>
      <c r="G15" s="1"/>
      <c r="H15" s="1"/>
      <c r="I15" s="1"/>
      <c r="J15" s="1"/>
      <c r="K15" s="95"/>
      <c r="L15" s="1"/>
      <c r="M15" s="40"/>
      <c r="N15" s="40" t="str">
        <f>IFERROR(VLOOKUP($E15,Songs!$A$1:$AG$178,7,FALSE),"")</f>
        <v/>
      </c>
      <c r="O15" s="40" t="str">
        <f>IFERROR(VLOOKUP($E15,Songs!$A$1:$AG$178,6,FALSE),"")</f>
        <v/>
      </c>
      <c r="P15" s="40" t="str">
        <f>IFERROR(VLOOKUP($E15,Songs!$A$1:$AG$178,8,FALSE),"")</f>
        <v/>
      </c>
      <c r="Q15" s="40" t="str">
        <f>IFERROR(VLOOKUP($E15,Songs!$A$1:$AG$178,22,FALSE),"")</f>
        <v/>
      </c>
      <c r="R15" s="40" t="str">
        <f>IFERROR(VLOOKUP($E15,Songs!$A$1:$AG$178,9,FALSE),"")</f>
        <v/>
      </c>
      <c r="S15" s="40">
        <f>IFERROR(VLOOKUP($E15,Songs!$A$1:$AG$178,17,FALSE),0)</f>
        <v>0</v>
      </c>
      <c r="T15" s="40" t="str">
        <f>IFERROR(VLOOKUP($E15,Songs!$A$1:$AG$178,11,FALSE),"")</f>
        <v/>
      </c>
      <c r="U15" s="40" t="str">
        <f>IFERROR(VLOOKUP($E15,Songs!$A$1:$AG$178,28,FALSE),"")</f>
        <v/>
      </c>
      <c r="V15" s="40">
        <f>IFERROR(VLOOKUP($E15,Songs!$A$1:$AG$178,29,FALSE),0)</f>
        <v>0</v>
      </c>
      <c r="W15" s="40">
        <f>IFERROR(VLOOKUP($E15,Songs!$A$1:$AG$178,30,FALSE),0)</f>
        <v>0</v>
      </c>
      <c r="X15" s="40">
        <f t="shared" si="0"/>
        <v>0</v>
      </c>
      <c r="Y15" s="40">
        <f t="shared" si="1"/>
        <v>0</v>
      </c>
      <c r="Z15" s="41">
        <f>IFERROR(ROUNDDOWN((SUM($U15:$X15)*(VLOOKUP($Q15,$B$16:$C$26,2,FALSE)/99)*K15)*IF((($T15-(MIN(Songs!$K:$K))+0.1)/(8-(MIN(Songs!$K:$K))))&lt;1,(($T15-(MIN(Songs!$K:$K))+0.1)/(8-(MIN(Songs!$K:$K)))),1),0),0)</f>
        <v>0</v>
      </c>
      <c r="AA15" s="41">
        <f t="shared" si="2"/>
        <v>0</v>
      </c>
      <c r="AB15" s="41">
        <f t="shared" si="3"/>
        <v>0</v>
      </c>
      <c r="AC15" s="80">
        <f t="array" ref="AC15">IF(MAX(IF($E:$E=$E15,$AB:$AB),1,0)&gt;$AB15,0,$AB15)</f>
        <v>0</v>
      </c>
      <c r="AD15" s="58">
        <f t="shared" si="4"/>
        <v>1</v>
      </c>
      <c r="AE15" s="40" t="str">
        <f>IFERROR(VLOOKUP($E15,Songs!$A$1:$AG$178,3,FALSE),"")</f>
        <v/>
      </c>
      <c r="AF15" s="40"/>
      <c r="AG15" s="40">
        <f t="shared" si="5"/>
        <v>0</v>
      </c>
      <c r="AH15" s="40">
        <f t="shared" si="6"/>
        <v>0</v>
      </c>
      <c r="AI15" s="40">
        <f>100</f>
        <v>100</v>
      </c>
      <c r="AJ15" s="40">
        <f t="shared" si="7"/>
        <v>50</v>
      </c>
      <c r="AK15" s="40">
        <f t="shared" si="8"/>
        <v>0</v>
      </c>
      <c r="AL15" s="40">
        <f>0</f>
        <v>0</v>
      </c>
      <c r="AM15" s="40">
        <v>100</v>
      </c>
      <c r="AN15" s="40">
        <f>0</f>
        <v>0</v>
      </c>
      <c r="AO15" s="40">
        <f t="shared" si="9"/>
        <v>100</v>
      </c>
      <c r="AP15" s="40">
        <f t="shared" si="10"/>
        <v>0</v>
      </c>
      <c r="AQ15" s="40">
        <f t="shared" si="11"/>
        <v>0</v>
      </c>
      <c r="AR15" s="40">
        <f>0</f>
        <v>0</v>
      </c>
      <c r="AS15" s="40">
        <f t="shared" si="12"/>
        <v>0</v>
      </c>
      <c r="AT15" s="40">
        <f t="shared" si="13"/>
        <v>0</v>
      </c>
      <c r="AU15" s="40">
        <f t="shared" si="14"/>
        <v>0</v>
      </c>
      <c r="AV15" s="40">
        <f t="shared" si="15"/>
        <v>0</v>
      </c>
      <c r="AW15" s="40">
        <f>0</f>
        <v>0</v>
      </c>
      <c r="AX15" s="40">
        <f t="shared" si="16"/>
        <v>0</v>
      </c>
      <c r="AY15" s="40">
        <f t="shared" si="17"/>
        <v>0</v>
      </c>
      <c r="AZ15" s="40">
        <f t="shared" si="18"/>
        <v>0</v>
      </c>
      <c r="BA15" s="40">
        <f t="shared" si="19"/>
        <v>0</v>
      </c>
      <c r="BB15" s="40">
        <f>0</f>
        <v>0</v>
      </c>
      <c r="BC15" s="42">
        <f>600</f>
        <v>600</v>
      </c>
    </row>
    <row r="16" spans="2:55">
      <c r="B16" s="34">
        <v>170</v>
      </c>
      <c r="C16" s="35">
        <v>1</v>
      </c>
      <c r="E16" s="39"/>
      <c r="F16" s="1"/>
      <c r="G16" s="1"/>
      <c r="H16" s="1"/>
      <c r="I16" s="1"/>
      <c r="J16" s="1"/>
      <c r="K16" s="95"/>
      <c r="L16" s="1"/>
      <c r="M16" s="40"/>
      <c r="N16" s="40" t="str">
        <f>IFERROR(VLOOKUP($E16,Songs!$A$1:$AG$178,7,FALSE),"")</f>
        <v/>
      </c>
      <c r="O16" s="40" t="str">
        <f>IFERROR(VLOOKUP($E16,Songs!$A$1:$AG$178,6,FALSE),"")</f>
        <v/>
      </c>
      <c r="P16" s="40" t="str">
        <f>IFERROR(VLOOKUP($E16,Songs!$A$1:$AG$178,8,FALSE),"")</f>
        <v/>
      </c>
      <c r="Q16" s="40" t="str">
        <f>IFERROR(VLOOKUP($E16,Songs!$A$1:$AG$178,22,FALSE),"")</f>
        <v/>
      </c>
      <c r="R16" s="40" t="str">
        <f>IFERROR(VLOOKUP($E16,Songs!$A$1:$AG$178,9,FALSE),"")</f>
        <v/>
      </c>
      <c r="S16" s="40">
        <f>IFERROR(VLOOKUP($E16,Songs!$A$1:$AG$178,17,FALSE),0)</f>
        <v>0</v>
      </c>
      <c r="T16" s="40" t="str">
        <f>IFERROR(VLOOKUP($E16,Songs!$A$1:$AG$178,11,FALSE),"")</f>
        <v/>
      </c>
      <c r="U16" s="40" t="str">
        <f>IFERROR(VLOOKUP($E16,Songs!$A$1:$AG$178,28,FALSE),"")</f>
        <v/>
      </c>
      <c r="V16" s="40">
        <f>IFERROR(VLOOKUP($E16,Songs!$A$1:$AG$178,29,FALSE),0)</f>
        <v>0</v>
      </c>
      <c r="W16" s="40">
        <f>IFERROR(VLOOKUP($E16,Songs!$A$1:$AG$178,30,FALSE),0)</f>
        <v>0</v>
      </c>
      <c r="X16" s="40">
        <f t="shared" si="0"/>
        <v>0</v>
      </c>
      <c r="Y16" s="40">
        <f t="shared" si="1"/>
        <v>0</v>
      </c>
      <c r="Z16" s="41">
        <f>IFERROR(ROUNDDOWN((SUM($U16:$X16)*(VLOOKUP($Q16,$B$16:$C$26,2,FALSE)/99)*K16)*IF((($T16-(MIN(Songs!$K:$K))+0.1)/(8-(MIN(Songs!$K:$K))))&lt;1,(($T16-(MIN(Songs!$K:$K))+0.1)/(8-(MIN(Songs!$K:$K)))),1),0),0)</f>
        <v>0</v>
      </c>
      <c r="AA16" s="41">
        <f t="shared" si="2"/>
        <v>0</v>
      </c>
      <c r="AB16" s="41">
        <f t="shared" si="3"/>
        <v>0</v>
      </c>
      <c r="AC16" s="80">
        <f t="array" ref="AC16">IF(MAX(IF($E:$E=$E16,$AB:$AB),1,0)&gt;$AB16,0,$AB16)</f>
        <v>0</v>
      </c>
      <c r="AD16" s="58">
        <f t="shared" si="4"/>
        <v>1</v>
      </c>
      <c r="AE16" s="40" t="str">
        <f>IFERROR(VLOOKUP($E16,Songs!$A$1:$AG$178,3,FALSE),"")</f>
        <v/>
      </c>
      <c r="AF16" s="40"/>
      <c r="AG16" s="40">
        <f t="shared" si="5"/>
        <v>0</v>
      </c>
      <c r="AH16" s="40">
        <f t="shared" si="6"/>
        <v>0</v>
      </c>
      <c r="AI16" s="40">
        <f>100</f>
        <v>100</v>
      </c>
      <c r="AJ16" s="40">
        <f t="shared" si="7"/>
        <v>50</v>
      </c>
      <c r="AK16" s="40">
        <f t="shared" si="8"/>
        <v>0</v>
      </c>
      <c r="AL16" s="40">
        <f>0</f>
        <v>0</v>
      </c>
      <c r="AM16" s="40">
        <v>100</v>
      </c>
      <c r="AN16" s="40">
        <f>0</f>
        <v>0</v>
      </c>
      <c r="AO16" s="40">
        <f t="shared" si="9"/>
        <v>100</v>
      </c>
      <c r="AP16" s="40">
        <f t="shared" si="10"/>
        <v>0</v>
      </c>
      <c r="AQ16" s="40">
        <f t="shared" si="11"/>
        <v>0</v>
      </c>
      <c r="AR16" s="40">
        <f>0</f>
        <v>0</v>
      </c>
      <c r="AS16" s="40">
        <f t="shared" si="12"/>
        <v>0</v>
      </c>
      <c r="AT16" s="40">
        <f t="shared" si="13"/>
        <v>0</v>
      </c>
      <c r="AU16" s="40">
        <f t="shared" si="14"/>
        <v>0</v>
      </c>
      <c r="AV16" s="40">
        <f t="shared" si="15"/>
        <v>0</v>
      </c>
      <c r="AW16" s="40">
        <f>0</f>
        <v>0</v>
      </c>
      <c r="AX16" s="40">
        <f t="shared" si="16"/>
        <v>0</v>
      </c>
      <c r="AY16" s="40">
        <f t="shared" si="17"/>
        <v>0</v>
      </c>
      <c r="AZ16" s="40">
        <f t="shared" si="18"/>
        <v>0</v>
      </c>
      <c r="BA16" s="40">
        <f t="shared" si="19"/>
        <v>0</v>
      </c>
      <c r="BB16" s="40">
        <f>0</f>
        <v>0</v>
      </c>
      <c r="BC16" s="42">
        <f>600</f>
        <v>600</v>
      </c>
    </row>
    <row r="17" spans="1:55">
      <c r="B17" s="34">
        <v>180</v>
      </c>
      <c r="C17" s="35">
        <v>1</v>
      </c>
      <c r="E17" s="48"/>
      <c r="F17" s="1"/>
      <c r="G17" s="1"/>
      <c r="H17" s="1"/>
      <c r="I17" s="1"/>
      <c r="J17" s="1"/>
      <c r="K17" s="95"/>
      <c r="L17" s="1"/>
      <c r="M17" s="40"/>
      <c r="N17" s="40" t="str">
        <f>IFERROR(VLOOKUP($E17,Songs!$A$1:$AG$178,7,FALSE),"")</f>
        <v/>
      </c>
      <c r="O17" s="40" t="str">
        <f>IFERROR(VLOOKUP($E17,Songs!$A$1:$AG$178,6,FALSE),"")</f>
        <v/>
      </c>
      <c r="P17" s="40" t="str">
        <f>IFERROR(VLOOKUP($E17,Songs!$A$1:$AG$178,8,FALSE),"")</f>
        <v/>
      </c>
      <c r="Q17" s="40" t="str">
        <f>IFERROR(VLOOKUP($E17,Songs!$A$1:$AG$178,22,FALSE),"")</f>
        <v/>
      </c>
      <c r="R17" s="40" t="str">
        <f>IFERROR(VLOOKUP($E17,Songs!$A$1:$AG$178,9,FALSE),"")</f>
        <v/>
      </c>
      <c r="S17" s="40">
        <f>IFERROR(VLOOKUP($E17,Songs!$A$1:$AG$178,17,FALSE),0)</f>
        <v>0</v>
      </c>
      <c r="T17" s="40" t="str">
        <f>IFERROR(VLOOKUP($E17,Songs!$A$1:$AG$178,11,FALSE),"")</f>
        <v/>
      </c>
      <c r="U17" s="40" t="str">
        <f>IFERROR(VLOOKUP($E17,Songs!$A$1:$AG$178,28,FALSE),"")</f>
        <v/>
      </c>
      <c r="V17" s="40">
        <f>IFERROR(VLOOKUP($E17,Songs!$A$1:$AG$178,29,FALSE),0)</f>
        <v>0</v>
      </c>
      <c r="W17" s="40">
        <f>IFERROR(VLOOKUP($E17,Songs!$A$1:$AG$178,30,FALSE),0)</f>
        <v>0</v>
      </c>
      <c r="X17" s="40">
        <f t="shared" si="0"/>
        <v>0</v>
      </c>
      <c r="Y17" s="40">
        <f t="shared" si="1"/>
        <v>0</v>
      </c>
      <c r="Z17" s="41">
        <f>IFERROR(ROUNDDOWN((SUM($U17:$X17)*(VLOOKUP($Q17,$B$16:$C$26,2,FALSE)/99)*K17)*IF((($T17-(MIN(Songs!$K:$K))+0.1)/(8-(MIN(Songs!$K:$K))))&lt;1,(($T17-(MIN(Songs!$K:$K))+0.1)/(8-(MIN(Songs!$K:$K)))),1),0),0)</f>
        <v>0</v>
      </c>
      <c r="AA17" s="41">
        <f t="shared" si="2"/>
        <v>0</v>
      </c>
      <c r="AB17" s="41">
        <f t="shared" si="3"/>
        <v>0</v>
      </c>
      <c r="AC17" s="80">
        <f t="array" ref="AC17">IF(MAX(IF($E:$E=$E17,$AB:$AB),1,0)&gt;$AB17,0,$AB17)</f>
        <v>0</v>
      </c>
      <c r="AD17" s="58">
        <f t="shared" si="4"/>
        <v>1</v>
      </c>
      <c r="AE17" s="40" t="str">
        <f>IFERROR(VLOOKUP($E17,Songs!$A$1:$AG$178,3,FALSE),"")</f>
        <v/>
      </c>
      <c r="AF17" s="40"/>
      <c r="AG17" s="40">
        <f t="shared" si="5"/>
        <v>0</v>
      </c>
      <c r="AH17" s="40">
        <f t="shared" si="6"/>
        <v>0</v>
      </c>
      <c r="AI17" s="40">
        <f>100</f>
        <v>100</v>
      </c>
      <c r="AJ17" s="40">
        <f t="shared" si="7"/>
        <v>50</v>
      </c>
      <c r="AK17" s="40">
        <f t="shared" si="8"/>
        <v>0</v>
      </c>
      <c r="AL17" s="40">
        <f>0</f>
        <v>0</v>
      </c>
      <c r="AM17" s="40">
        <v>100</v>
      </c>
      <c r="AN17" s="40">
        <f>0</f>
        <v>0</v>
      </c>
      <c r="AO17" s="40">
        <f t="shared" si="9"/>
        <v>100</v>
      </c>
      <c r="AP17" s="40">
        <f t="shared" si="10"/>
        <v>0</v>
      </c>
      <c r="AQ17" s="40">
        <f t="shared" si="11"/>
        <v>0</v>
      </c>
      <c r="AR17" s="40">
        <f>0</f>
        <v>0</v>
      </c>
      <c r="AS17" s="40">
        <f t="shared" si="12"/>
        <v>0</v>
      </c>
      <c r="AT17" s="40">
        <f t="shared" si="13"/>
        <v>0</v>
      </c>
      <c r="AU17" s="40">
        <f t="shared" si="14"/>
        <v>0</v>
      </c>
      <c r="AV17" s="40">
        <f t="shared" si="15"/>
        <v>0</v>
      </c>
      <c r="AW17" s="40">
        <f>0</f>
        <v>0</v>
      </c>
      <c r="AX17" s="40">
        <f t="shared" si="16"/>
        <v>0</v>
      </c>
      <c r="AY17" s="40">
        <f t="shared" si="17"/>
        <v>0</v>
      </c>
      <c r="AZ17" s="40">
        <f t="shared" si="18"/>
        <v>0</v>
      </c>
      <c r="BA17" s="40">
        <f t="shared" si="19"/>
        <v>0</v>
      </c>
      <c r="BB17" s="40">
        <f>0</f>
        <v>0</v>
      </c>
      <c r="BC17" s="42">
        <f>600</f>
        <v>600</v>
      </c>
    </row>
    <row r="18" spans="1:55">
      <c r="B18" s="34">
        <v>190</v>
      </c>
      <c r="C18" s="35">
        <v>1</v>
      </c>
      <c r="E18" s="39"/>
      <c r="F18" s="1"/>
      <c r="G18" s="1"/>
      <c r="H18" s="1"/>
      <c r="I18" s="1"/>
      <c r="J18" s="1"/>
      <c r="K18" s="95"/>
      <c r="L18" s="1"/>
      <c r="M18" s="40"/>
      <c r="N18" s="40" t="str">
        <f>IFERROR(VLOOKUP($E18,Songs!$A$1:$AG$178,7,FALSE),"")</f>
        <v/>
      </c>
      <c r="O18" s="40" t="str">
        <f>IFERROR(VLOOKUP($E18,Songs!$A$1:$AG$178,6,FALSE),"")</f>
        <v/>
      </c>
      <c r="P18" s="40" t="str">
        <f>IFERROR(VLOOKUP($E18,Songs!$A$1:$AG$178,8,FALSE),"")</f>
        <v/>
      </c>
      <c r="Q18" s="40" t="str">
        <f>IFERROR(VLOOKUP($E18,Songs!$A$1:$AG$178,22,FALSE),"")</f>
        <v/>
      </c>
      <c r="R18" s="40" t="str">
        <f>IFERROR(VLOOKUP($E18,Songs!$A$1:$AG$178,9,FALSE),"")</f>
        <v/>
      </c>
      <c r="S18" s="40">
        <f>IFERROR(VLOOKUP($E18,Songs!$A$1:$AG$178,17,FALSE),0)</f>
        <v>0</v>
      </c>
      <c r="T18" s="40" t="str">
        <f>IFERROR(VLOOKUP($E18,Songs!$A$1:$AG$178,11,FALSE),"")</f>
        <v/>
      </c>
      <c r="U18" s="40" t="str">
        <f>IFERROR(VLOOKUP($E18,Songs!$A$1:$AG$178,28,FALSE),"")</f>
        <v/>
      </c>
      <c r="V18" s="40">
        <f>IFERROR(VLOOKUP($E18,Songs!$A$1:$AG$178,29,FALSE),0)</f>
        <v>0</v>
      </c>
      <c r="W18" s="40">
        <f>IFERROR(VLOOKUP($E18,Songs!$A$1:$AG$178,30,FALSE),0)</f>
        <v>0</v>
      </c>
      <c r="X18" s="40">
        <f t="shared" si="0"/>
        <v>0</v>
      </c>
      <c r="Y18" s="40">
        <f t="shared" si="1"/>
        <v>0</v>
      </c>
      <c r="Z18" s="41">
        <f>IFERROR(ROUNDDOWN((SUM($U18:$X18)*(VLOOKUP($Q18,$B$16:$C$26,2,FALSE)/99)*K18)*IF((($T18-(MIN(Songs!$K:$K))+0.1)/(8-(MIN(Songs!$K:$K))))&lt;1,(($T18-(MIN(Songs!$K:$K))+0.1)/(8-(MIN(Songs!$K:$K)))),1),0),0)</f>
        <v>0</v>
      </c>
      <c r="AA18" s="41">
        <f t="shared" si="2"/>
        <v>0</v>
      </c>
      <c r="AB18" s="41">
        <f t="shared" si="3"/>
        <v>0</v>
      </c>
      <c r="AC18" s="80">
        <f t="array" ref="AC18">IF(MAX(IF($E:$E=$E18,$AB:$AB),1,0)&gt;$AB18,0,$AB18)</f>
        <v>0</v>
      </c>
      <c r="AD18" s="58">
        <f t="shared" si="4"/>
        <v>1</v>
      </c>
      <c r="AE18" s="40" t="str">
        <f>IFERROR(VLOOKUP($E18,Songs!$A$1:$AG$178,3,FALSE),"")</f>
        <v/>
      </c>
      <c r="AF18" s="40"/>
      <c r="AG18" s="40">
        <f t="shared" si="5"/>
        <v>0</v>
      </c>
      <c r="AH18" s="40">
        <f t="shared" si="6"/>
        <v>0</v>
      </c>
      <c r="AI18" s="40">
        <f>100</f>
        <v>100</v>
      </c>
      <c r="AJ18" s="40">
        <f t="shared" si="7"/>
        <v>50</v>
      </c>
      <c r="AK18" s="40">
        <f t="shared" si="8"/>
        <v>0</v>
      </c>
      <c r="AL18" s="40">
        <f>0</f>
        <v>0</v>
      </c>
      <c r="AM18" s="40">
        <v>100</v>
      </c>
      <c r="AN18" s="40">
        <f>0</f>
        <v>0</v>
      </c>
      <c r="AO18" s="40">
        <f t="shared" si="9"/>
        <v>100</v>
      </c>
      <c r="AP18" s="40">
        <f t="shared" si="10"/>
        <v>0</v>
      </c>
      <c r="AQ18" s="40">
        <f t="shared" si="11"/>
        <v>0</v>
      </c>
      <c r="AR18" s="40">
        <f>0</f>
        <v>0</v>
      </c>
      <c r="AS18" s="40">
        <f t="shared" si="12"/>
        <v>0</v>
      </c>
      <c r="AT18" s="40">
        <f t="shared" si="13"/>
        <v>0</v>
      </c>
      <c r="AU18" s="40">
        <f t="shared" si="14"/>
        <v>0</v>
      </c>
      <c r="AV18" s="40">
        <f t="shared" si="15"/>
        <v>0</v>
      </c>
      <c r="AW18" s="40">
        <f>0</f>
        <v>0</v>
      </c>
      <c r="AX18" s="40">
        <f t="shared" si="16"/>
        <v>0</v>
      </c>
      <c r="AY18" s="40">
        <f t="shared" si="17"/>
        <v>0</v>
      </c>
      <c r="AZ18" s="40">
        <f t="shared" si="18"/>
        <v>0</v>
      </c>
      <c r="BA18" s="40">
        <f t="shared" si="19"/>
        <v>0</v>
      </c>
      <c r="BB18" s="40">
        <f>0</f>
        <v>0</v>
      </c>
      <c r="BC18" s="42">
        <f>600</f>
        <v>600</v>
      </c>
    </row>
    <row r="19" spans="1:55">
      <c r="B19" s="34">
        <v>200</v>
      </c>
      <c r="C19" s="35">
        <v>1</v>
      </c>
      <c r="E19" s="48"/>
      <c r="F19" s="1"/>
      <c r="G19" s="1"/>
      <c r="H19" s="1"/>
      <c r="I19" s="1"/>
      <c r="J19" s="1"/>
      <c r="K19" s="95"/>
      <c r="L19" s="1"/>
      <c r="M19" s="40"/>
      <c r="N19" s="40" t="str">
        <f>IFERROR(VLOOKUP($E19,Songs!$A$1:$AG$178,7,FALSE),"")</f>
        <v/>
      </c>
      <c r="O19" s="40" t="str">
        <f>IFERROR(VLOOKUP($E19,Songs!$A$1:$AG$178,6,FALSE),"")</f>
        <v/>
      </c>
      <c r="P19" s="40" t="str">
        <f>IFERROR(VLOOKUP($E19,Songs!$A$1:$AG$178,8,FALSE),"")</f>
        <v/>
      </c>
      <c r="Q19" s="40" t="str">
        <f>IFERROR(VLOOKUP($E19,Songs!$A$1:$AG$178,22,FALSE),"")</f>
        <v/>
      </c>
      <c r="R19" s="40" t="str">
        <f>IFERROR(VLOOKUP($E19,Songs!$A$1:$AG$178,9,FALSE),"")</f>
        <v/>
      </c>
      <c r="S19" s="40">
        <f>IFERROR(VLOOKUP($E19,Songs!$A$1:$AG$178,17,FALSE),0)</f>
        <v>0</v>
      </c>
      <c r="T19" s="40" t="str">
        <f>IFERROR(VLOOKUP($E19,Songs!$A$1:$AG$178,11,FALSE),"")</f>
        <v/>
      </c>
      <c r="U19" s="40" t="str">
        <f>IFERROR(VLOOKUP($E19,Songs!$A$1:$AG$178,28,FALSE),"")</f>
        <v/>
      </c>
      <c r="V19" s="40">
        <f>IFERROR(VLOOKUP($E19,Songs!$A$1:$AG$178,29,FALSE),0)</f>
        <v>0</v>
      </c>
      <c r="W19" s="40">
        <f>IFERROR(VLOOKUP($E19,Songs!$A$1:$AG$178,30,FALSE),0)</f>
        <v>0</v>
      </c>
      <c r="X19" s="40">
        <f t="shared" si="0"/>
        <v>0</v>
      </c>
      <c r="Y19" s="40">
        <f t="shared" si="1"/>
        <v>0</v>
      </c>
      <c r="Z19" s="41">
        <f>IFERROR(ROUNDDOWN((SUM($U19:$X19)*(VLOOKUP($Q19,$B$16:$C$26,2,FALSE)/99)*K19)*IF((($T19-(MIN(Songs!$K:$K))+0.1)/(8-(MIN(Songs!$K:$K))))&lt;1,(($T19-(MIN(Songs!$K:$K))+0.1)/(8-(MIN(Songs!$K:$K)))),1),0),0)</f>
        <v>0</v>
      </c>
      <c r="AA19" s="41">
        <f t="shared" si="2"/>
        <v>0</v>
      </c>
      <c r="AB19" s="41">
        <f t="shared" si="3"/>
        <v>0</v>
      </c>
      <c r="AC19" s="80">
        <f t="array" ref="AC19">IF(MAX(IF($E:$E=$E19,$AB:$AB),1,0)&gt;$AB19,0,$AB19)</f>
        <v>0</v>
      </c>
      <c r="AD19" s="58">
        <f t="shared" si="4"/>
        <v>1</v>
      </c>
      <c r="AE19" s="40" t="str">
        <f>IFERROR(VLOOKUP($E19,Songs!$A$1:$AG$178,3,FALSE),"")</f>
        <v/>
      </c>
      <c r="AF19" s="40"/>
      <c r="AG19" s="40">
        <f t="shared" si="5"/>
        <v>0</v>
      </c>
      <c r="AH19" s="40">
        <f t="shared" si="6"/>
        <v>0</v>
      </c>
      <c r="AI19" s="40">
        <f>100</f>
        <v>100</v>
      </c>
      <c r="AJ19" s="40">
        <f t="shared" si="7"/>
        <v>50</v>
      </c>
      <c r="AK19" s="40">
        <f t="shared" si="8"/>
        <v>0</v>
      </c>
      <c r="AL19" s="40">
        <f>0</f>
        <v>0</v>
      </c>
      <c r="AM19" s="40">
        <v>100</v>
      </c>
      <c r="AN19" s="40">
        <f>0</f>
        <v>0</v>
      </c>
      <c r="AO19" s="40">
        <f t="shared" si="9"/>
        <v>100</v>
      </c>
      <c r="AP19" s="40">
        <f t="shared" si="10"/>
        <v>0</v>
      </c>
      <c r="AQ19" s="40">
        <f t="shared" si="11"/>
        <v>0</v>
      </c>
      <c r="AR19" s="40">
        <f>0</f>
        <v>0</v>
      </c>
      <c r="AS19" s="40">
        <f t="shared" si="12"/>
        <v>0</v>
      </c>
      <c r="AT19" s="40">
        <f t="shared" si="13"/>
        <v>0</v>
      </c>
      <c r="AU19" s="40">
        <f t="shared" si="14"/>
        <v>0</v>
      </c>
      <c r="AV19" s="40">
        <f t="shared" si="15"/>
        <v>0</v>
      </c>
      <c r="AW19" s="40">
        <f>0</f>
        <v>0</v>
      </c>
      <c r="AX19" s="40">
        <f t="shared" si="16"/>
        <v>0</v>
      </c>
      <c r="AY19" s="40">
        <f t="shared" si="17"/>
        <v>0</v>
      </c>
      <c r="AZ19" s="40">
        <f t="shared" si="18"/>
        <v>0</v>
      </c>
      <c r="BA19" s="40">
        <f t="shared" si="19"/>
        <v>0</v>
      </c>
      <c r="BB19" s="40">
        <f>0</f>
        <v>0</v>
      </c>
      <c r="BC19" s="42">
        <f>600</f>
        <v>600</v>
      </c>
    </row>
    <row r="20" spans="1:55" ht="13.5" thickBot="1">
      <c r="B20" s="34">
        <v>210</v>
      </c>
      <c r="C20" s="35">
        <v>1</v>
      </c>
      <c r="E20" s="43"/>
      <c r="F20" s="44"/>
      <c r="G20" s="44"/>
      <c r="H20" s="44"/>
      <c r="I20" s="44"/>
      <c r="J20" s="44"/>
      <c r="K20" s="96"/>
      <c r="L20" s="44"/>
      <c r="M20" s="45"/>
      <c r="N20" s="45" t="str">
        <f>IFERROR(VLOOKUP($E20,Songs!$A$1:$AG$178,7,FALSE),"")</f>
        <v/>
      </c>
      <c r="O20" s="45" t="str">
        <f>IFERROR(VLOOKUP($E20,Songs!$A$1:$AG$178,6,FALSE),"")</f>
        <v/>
      </c>
      <c r="P20" s="45" t="str">
        <f>IFERROR(VLOOKUP($E20,Songs!$A$1:$AG$178,8,FALSE),"")</f>
        <v/>
      </c>
      <c r="Q20" s="45" t="str">
        <f>IFERROR(VLOOKUP($E20,Songs!$A$1:$AG$178,22,FALSE),"")</f>
        <v/>
      </c>
      <c r="R20" s="45" t="str">
        <f>IFERROR(VLOOKUP($E20,Songs!$A$1:$AG$178,9,FALSE),"")</f>
        <v/>
      </c>
      <c r="S20" s="45">
        <f>IFERROR(VLOOKUP($E20,Songs!$A$1:$AG$178,17,FALSE),0)</f>
        <v>0</v>
      </c>
      <c r="T20" s="45" t="str">
        <f>IFERROR(VLOOKUP($E20,Songs!$A$1:$AG$178,11,FALSE),"")</f>
        <v/>
      </c>
      <c r="U20" s="45" t="str">
        <f>IFERROR(VLOOKUP($E20,Songs!$A$1:$AG$178,28,FALSE),"")</f>
        <v/>
      </c>
      <c r="V20" s="45">
        <f>IFERROR(VLOOKUP($E20,Songs!$A$1:$AG$178,29,FALSE),0)</f>
        <v>0</v>
      </c>
      <c r="W20" s="45">
        <f>IFERROR(VLOOKUP($E20,Songs!$A$1:$AG$178,30,FALSE),0)</f>
        <v>0</v>
      </c>
      <c r="X20" s="45">
        <f t="shared" si="0"/>
        <v>0</v>
      </c>
      <c r="Y20" s="45">
        <f t="shared" si="1"/>
        <v>0</v>
      </c>
      <c r="Z20" s="46">
        <f>IFERROR(ROUNDDOWN((SUM($U20:$X20)*(VLOOKUP($Q20,$B$16:$C$26,2,FALSE)/99)*K20)*IF((($T20-(MIN(Songs!$K:$K))+0.1)/(8-(MIN(Songs!$K:$K))))&lt;1,(($T20-(MIN(Songs!$K:$K))+0.1)/(8-(MIN(Songs!$K:$K)))),1),0),0)</f>
        <v>0</v>
      </c>
      <c r="AA20" s="46">
        <f t="shared" si="2"/>
        <v>0</v>
      </c>
      <c r="AB20" s="46">
        <f t="shared" si="3"/>
        <v>0</v>
      </c>
      <c r="AC20" s="81">
        <f t="array" ref="AC20">IF(MAX(IF($E:$E=$E20,$AB:$AB),1,0)&gt;$AB20,0,$AB20)</f>
        <v>0</v>
      </c>
      <c r="AD20" s="59">
        <f t="shared" si="4"/>
        <v>1</v>
      </c>
      <c r="AE20" s="45" t="str">
        <f>IFERROR(VLOOKUP($E20,Songs!$A$1:$AG$178,3,FALSE),"")</f>
        <v/>
      </c>
      <c r="AF20" s="45"/>
      <c r="AG20" s="45">
        <f t="shared" si="5"/>
        <v>0</v>
      </c>
      <c r="AH20" s="45">
        <f t="shared" si="6"/>
        <v>0</v>
      </c>
      <c r="AI20" s="45">
        <f>100</f>
        <v>100</v>
      </c>
      <c r="AJ20" s="45">
        <f t="shared" si="7"/>
        <v>50</v>
      </c>
      <c r="AK20" s="45">
        <f t="shared" si="8"/>
        <v>0</v>
      </c>
      <c r="AL20" s="45">
        <f>0</f>
        <v>0</v>
      </c>
      <c r="AM20" s="45">
        <v>100</v>
      </c>
      <c r="AN20" s="45">
        <f>0</f>
        <v>0</v>
      </c>
      <c r="AO20" s="45">
        <f t="shared" si="9"/>
        <v>100</v>
      </c>
      <c r="AP20" s="45">
        <f t="shared" si="10"/>
        <v>0</v>
      </c>
      <c r="AQ20" s="45">
        <f t="shared" si="11"/>
        <v>0</v>
      </c>
      <c r="AR20" s="45">
        <f>0</f>
        <v>0</v>
      </c>
      <c r="AS20" s="45">
        <f t="shared" si="12"/>
        <v>0</v>
      </c>
      <c r="AT20" s="45">
        <f t="shared" si="13"/>
        <v>0</v>
      </c>
      <c r="AU20" s="45">
        <f t="shared" si="14"/>
        <v>0</v>
      </c>
      <c r="AV20" s="45">
        <f t="shared" si="15"/>
        <v>0</v>
      </c>
      <c r="AW20" s="45">
        <f>0</f>
        <v>0</v>
      </c>
      <c r="AX20" s="45">
        <f t="shared" si="16"/>
        <v>0</v>
      </c>
      <c r="AY20" s="45">
        <f t="shared" si="17"/>
        <v>0</v>
      </c>
      <c r="AZ20" s="45">
        <f t="shared" si="18"/>
        <v>0</v>
      </c>
      <c r="BA20" s="45">
        <f t="shared" si="19"/>
        <v>0</v>
      </c>
      <c r="BB20" s="45">
        <f>0</f>
        <v>0</v>
      </c>
      <c r="BC20" s="47">
        <f>600</f>
        <v>600</v>
      </c>
    </row>
    <row r="21" spans="1:55">
      <c r="B21" s="34">
        <v>220</v>
      </c>
      <c r="C21" s="35">
        <v>1</v>
      </c>
    </row>
    <row r="22" spans="1:55">
      <c r="B22" s="34">
        <v>230</v>
      </c>
      <c r="C22" s="35">
        <v>1</v>
      </c>
      <c r="E22" s="91" t="s">
        <v>338</v>
      </c>
    </row>
    <row r="23" spans="1:55">
      <c r="B23" s="34">
        <v>240</v>
      </c>
      <c r="C23" s="35">
        <v>1</v>
      </c>
      <c r="E23" s="91" t="s">
        <v>339</v>
      </c>
    </row>
    <row r="24" spans="1:55">
      <c r="B24" s="34">
        <v>250</v>
      </c>
      <c r="C24" s="35">
        <v>1</v>
      </c>
      <c r="E24" s="91" t="s">
        <v>340</v>
      </c>
    </row>
    <row r="25" spans="1:55">
      <c r="B25" s="34">
        <v>260</v>
      </c>
      <c r="C25" s="35">
        <v>1</v>
      </c>
      <c r="E25" s="91" t="s">
        <v>341</v>
      </c>
    </row>
    <row r="26" spans="1:55">
      <c r="B26" s="34">
        <v>270</v>
      </c>
      <c r="C26" s="35">
        <v>1</v>
      </c>
    </row>
    <row r="28" spans="1:55">
      <c r="A28" s="86" t="s">
        <v>162</v>
      </c>
      <c r="B28" s="87" t="s">
        <v>116</v>
      </c>
      <c r="C28" s="87" t="s">
        <v>337</v>
      </c>
    </row>
    <row r="29" spans="1:55">
      <c r="A29" s="88">
        <v>1</v>
      </c>
      <c r="B29" s="89" t="s">
        <v>117</v>
      </c>
      <c r="C29" s="90">
        <v>0</v>
      </c>
    </row>
    <row r="30" spans="1:55">
      <c r="A30" s="88">
        <v>2</v>
      </c>
      <c r="B30" s="89" t="s">
        <v>114</v>
      </c>
      <c r="C30" s="90">
        <v>0</v>
      </c>
    </row>
    <row r="31" spans="1:55">
      <c r="A31" s="88">
        <v>3</v>
      </c>
      <c r="B31" s="89" t="s">
        <v>115</v>
      </c>
      <c r="C31" s="90">
        <v>0</v>
      </c>
    </row>
    <row r="32" spans="1:55">
      <c r="A32" s="88">
        <v>4</v>
      </c>
      <c r="B32" s="89" t="s">
        <v>126</v>
      </c>
      <c r="C32" s="90">
        <v>0</v>
      </c>
    </row>
    <row r="33" spans="1:3">
      <c r="A33" s="88">
        <v>5</v>
      </c>
      <c r="B33" s="89" t="s">
        <v>128</v>
      </c>
      <c r="C33" s="90">
        <v>0</v>
      </c>
    </row>
    <row r="34" spans="1:3">
      <c r="A34" s="88">
        <v>6</v>
      </c>
      <c r="B34" s="89" t="s">
        <v>118</v>
      </c>
      <c r="C34" s="90">
        <v>0</v>
      </c>
    </row>
    <row r="35" spans="1:3">
      <c r="A35" s="88">
        <v>7</v>
      </c>
      <c r="B35" s="89" t="s">
        <v>121</v>
      </c>
      <c r="C35" s="90">
        <v>0</v>
      </c>
    </row>
    <row r="36" spans="1:3">
      <c r="A36" s="88">
        <v>8</v>
      </c>
      <c r="B36" s="89" t="s">
        <v>124</v>
      </c>
      <c r="C36" s="90">
        <v>0</v>
      </c>
    </row>
    <row r="37" spans="1:3">
      <c r="A37" s="88">
        <v>9</v>
      </c>
      <c r="B37" s="89" t="s">
        <v>122</v>
      </c>
      <c r="C37" s="90">
        <v>0</v>
      </c>
    </row>
    <row r="38" spans="1:3">
      <c r="A38" s="88">
        <v>10</v>
      </c>
      <c r="B38" s="89" t="s">
        <v>127</v>
      </c>
      <c r="C38" s="90">
        <v>0</v>
      </c>
    </row>
    <row r="39" spans="1:3">
      <c r="A39" s="88">
        <v>11</v>
      </c>
      <c r="B39" s="89" t="s">
        <v>129</v>
      </c>
      <c r="C39" s="90">
        <v>0</v>
      </c>
    </row>
    <row r="40" spans="1:3">
      <c r="A40" s="88">
        <v>12</v>
      </c>
      <c r="B40" s="89" t="s">
        <v>119</v>
      </c>
      <c r="C40" s="90">
        <v>0</v>
      </c>
    </row>
    <row r="41" spans="1:3">
      <c r="A41" s="88">
        <v>13</v>
      </c>
      <c r="B41" s="89" t="s">
        <v>130</v>
      </c>
      <c r="C41" s="90">
        <v>0</v>
      </c>
    </row>
    <row r="42" spans="1:3">
      <c r="A42" s="88">
        <v>14</v>
      </c>
      <c r="B42" s="89" t="s">
        <v>131</v>
      </c>
      <c r="C42" s="90">
        <v>0</v>
      </c>
    </row>
    <row r="43" spans="1:3">
      <c r="A43" s="88">
        <v>15</v>
      </c>
      <c r="B43" s="89" t="s">
        <v>132</v>
      </c>
      <c r="C43" s="90">
        <v>0</v>
      </c>
    </row>
    <row r="44" spans="1:3">
      <c r="A44" s="88">
        <v>16</v>
      </c>
      <c r="B44" s="89" t="s">
        <v>141</v>
      </c>
      <c r="C44" s="90">
        <v>0</v>
      </c>
    </row>
    <row r="45" spans="1:3">
      <c r="A45" s="88">
        <v>17</v>
      </c>
      <c r="B45" s="89" t="s">
        <v>125</v>
      </c>
      <c r="C45" s="90">
        <v>0</v>
      </c>
    </row>
    <row r="46" spans="1:3">
      <c r="A46" s="88">
        <v>18</v>
      </c>
      <c r="B46" s="89" t="s">
        <v>123</v>
      </c>
      <c r="C46" s="90">
        <v>0</v>
      </c>
    </row>
    <row r="47" spans="1:3">
      <c r="A47" s="88">
        <v>19</v>
      </c>
      <c r="B47" s="89" t="s">
        <v>133</v>
      </c>
      <c r="C47" s="90">
        <v>0</v>
      </c>
    </row>
    <row r="48" spans="1:3">
      <c r="A48" s="88">
        <v>20</v>
      </c>
      <c r="B48" s="89" t="s">
        <v>134</v>
      </c>
      <c r="C48" s="90">
        <v>0</v>
      </c>
    </row>
    <row r="49" spans="1:3">
      <c r="A49" s="88">
        <v>21</v>
      </c>
      <c r="B49" s="89" t="s">
        <v>135</v>
      </c>
      <c r="C49" s="90">
        <v>0</v>
      </c>
    </row>
    <row r="50" spans="1:3">
      <c r="A50" s="88">
        <v>22</v>
      </c>
      <c r="B50" s="89" t="s">
        <v>120</v>
      </c>
      <c r="C50" s="90">
        <v>0</v>
      </c>
    </row>
    <row r="51" spans="1:3">
      <c r="A51" s="88">
        <v>23</v>
      </c>
      <c r="B51" s="89" t="s">
        <v>136</v>
      </c>
      <c r="C51" s="90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91"/>
  <sheetViews>
    <sheetView topLeftCell="F1" zoomScale="85" zoomScaleNormal="85" workbookViewId="0">
      <selection activeCell="AL2" sqref="AL2"/>
    </sheetView>
  </sheetViews>
  <sheetFormatPr defaultRowHeight="12.75"/>
  <cols>
    <col min="1" max="1" width="6" style="6" customWidth="1"/>
    <col min="2" max="2" width="32.42578125" style="6" customWidth="1"/>
    <col min="3" max="3" width="27.7109375" customWidth="1"/>
    <col min="4" max="5" width="0" hidden="1" customWidth="1"/>
    <col min="6" max="6" width="4.28515625" style="6" customWidth="1"/>
    <col min="7" max="7" width="30.85546875" customWidth="1"/>
    <col min="10" max="10" width="0" hidden="1" customWidth="1"/>
    <col min="13" max="14" width="0" hidden="1" customWidth="1"/>
    <col min="21" max="21" width="29.28515625" customWidth="1"/>
    <col min="23" max="27" width="9.140625" hidden="1" customWidth="1"/>
    <col min="31" max="33" width="9.140625" hidden="1" customWidth="1"/>
  </cols>
  <sheetData>
    <row r="1" spans="1:33" ht="13.5" thickBot="1">
      <c r="A1" s="31" t="s">
        <v>162</v>
      </c>
      <c r="B1" s="60" t="s">
        <v>303</v>
      </c>
      <c r="C1" s="3" t="s">
        <v>0</v>
      </c>
      <c r="D1" s="3" t="s">
        <v>1</v>
      </c>
      <c r="E1" s="3" t="s">
        <v>2</v>
      </c>
      <c r="F1" s="78" t="s">
        <v>3</v>
      </c>
      <c r="G1" s="4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4" t="s">
        <v>17</v>
      </c>
      <c r="U1" s="5" t="s">
        <v>18</v>
      </c>
      <c r="V1" s="24" t="s">
        <v>147</v>
      </c>
      <c r="W1" s="18" t="s">
        <v>158</v>
      </c>
      <c r="X1" s="18" t="s">
        <v>159</v>
      </c>
      <c r="Y1" s="18" t="s">
        <v>146</v>
      </c>
      <c r="Z1" s="18" t="s">
        <v>156</v>
      </c>
      <c r="AA1" s="18" t="s">
        <v>155</v>
      </c>
      <c r="AB1" s="18" t="s">
        <v>143</v>
      </c>
      <c r="AC1" s="18" t="s">
        <v>144</v>
      </c>
      <c r="AD1" s="18" t="s">
        <v>166</v>
      </c>
      <c r="AE1" s="18" t="s">
        <v>142</v>
      </c>
      <c r="AF1" s="18" t="s">
        <v>160</v>
      </c>
      <c r="AG1" s="18" t="s">
        <v>145</v>
      </c>
    </row>
    <row r="2" spans="1:33">
      <c r="A2" s="6">
        <v>6</v>
      </c>
      <c r="B2" s="6" t="s">
        <v>304</v>
      </c>
      <c r="C2" s="19" t="s">
        <v>21</v>
      </c>
      <c r="D2" s="19" t="s">
        <v>19</v>
      </c>
      <c r="E2" s="19" t="s">
        <v>20</v>
      </c>
      <c r="F2" s="79">
        <v>17</v>
      </c>
      <c r="G2" s="19" t="s">
        <v>22</v>
      </c>
      <c r="H2" s="19">
        <v>190</v>
      </c>
      <c r="I2" s="19">
        <v>3367</v>
      </c>
      <c r="J2" s="19">
        <v>261</v>
      </c>
      <c r="K2" s="19">
        <v>5.49</v>
      </c>
      <c r="L2" s="19">
        <v>186</v>
      </c>
      <c r="M2" s="19">
        <v>0</v>
      </c>
      <c r="N2" s="19">
        <v>0</v>
      </c>
      <c r="O2" s="19">
        <v>65</v>
      </c>
      <c r="P2" s="19">
        <v>0.71260000000000001</v>
      </c>
      <c r="Q2" s="19">
        <v>0.72370000000000001</v>
      </c>
      <c r="R2" s="19">
        <v>2.86</v>
      </c>
      <c r="S2" s="19">
        <v>10.33</v>
      </c>
      <c r="T2" s="19">
        <v>10.34</v>
      </c>
      <c r="U2" t="s">
        <v>23</v>
      </c>
      <c r="V2">
        <f t="shared" ref="V2:V33" si="0">ROUNDDOWN(H2/10,0)*10</f>
        <v>190</v>
      </c>
      <c r="W2" s="17">
        <f t="shared" ref="W2:W33" si="1">(L2)*((Q2^3.5+0)/1)</f>
        <v>59.974681239854547</v>
      </c>
      <c r="X2" s="17">
        <f t="shared" ref="X2:X33" si="2">_xlfn.RANK.AVG(W2,W:W,1)</f>
        <v>27</v>
      </c>
      <c r="Y2">
        <f t="shared" ref="Y2:Y33" si="3">_xlfn.RANK.AVG(H2,H:H,1)</f>
        <v>9.5</v>
      </c>
      <c r="Z2">
        <f t="shared" ref="Z2:Z33" si="4">_xlfn.RANK.AVG(F2,F:F,1)</f>
        <v>7</v>
      </c>
      <c r="AA2">
        <f t="shared" ref="AA2:AA33" ca="1" si="5">RANDBETWEEN(50,100)/100</f>
        <v>0.5</v>
      </c>
      <c r="AB2">
        <f t="shared" ref="AB2:AB33" si="6">ROUNDUP((1600/(MAX(Y:Y))^1.5)*Y2^1.5,0)</f>
        <v>55</v>
      </c>
      <c r="AC2">
        <f t="shared" ref="AC2:AC33" si="7">ROUNDUP((1000/(MAX(X:X))^1.1)*X2^1.1,0)</f>
        <v>266</v>
      </c>
      <c r="AD2">
        <f t="shared" ref="AD2:AD33" si="8">ROUNDUP(3200*(($F2-16)/(MAX($F:$F)-16))^1.73,0)</f>
        <v>88</v>
      </c>
      <c r="AE2">
        <f t="shared" ref="AE2:AE33" ca="1" si="9">ROUNDUP((AA2^4)*1000,0)</f>
        <v>63</v>
      </c>
      <c r="AF2">
        <f t="shared" ref="AF2:AF33" si="10">SUM(AB2:AD2)</f>
        <v>409</v>
      </c>
      <c r="AG2">
        <f t="shared" ref="AG2:AG33" ca="1" si="11">SUM(AB2:AE2)</f>
        <v>472</v>
      </c>
    </row>
    <row r="3" spans="1:33">
      <c r="A3" s="6">
        <v>8</v>
      </c>
      <c r="B3" s="6" t="s">
        <v>304</v>
      </c>
      <c r="C3" s="19" t="s">
        <v>87</v>
      </c>
      <c r="D3" s="19" t="s">
        <v>19</v>
      </c>
      <c r="E3" s="19" t="s">
        <v>20</v>
      </c>
      <c r="F3" s="79">
        <v>17</v>
      </c>
      <c r="G3" s="19" t="s">
        <v>104</v>
      </c>
      <c r="H3" s="19">
        <v>196</v>
      </c>
      <c r="I3" s="19">
        <v>3120</v>
      </c>
      <c r="J3" s="19">
        <v>256</v>
      </c>
      <c r="K3" s="19">
        <v>5.33</v>
      </c>
      <c r="L3" s="19">
        <v>162</v>
      </c>
      <c r="M3" s="19">
        <v>0</v>
      </c>
      <c r="N3" s="19">
        <v>0</v>
      </c>
      <c r="O3" s="19">
        <v>56</v>
      </c>
      <c r="P3" s="19">
        <v>0.63280000000000003</v>
      </c>
      <c r="Q3" s="19">
        <v>0.74309999999999998</v>
      </c>
      <c r="R3" s="19">
        <v>2.89</v>
      </c>
      <c r="S3" s="19">
        <v>10.210000000000001</v>
      </c>
      <c r="T3" s="19">
        <v>10.89</v>
      </c>
      <c r="U3" t="s">
        <v>105</v>
      </c>
      <c r="V3">
        <f t="shared" si="0"/>
        <v>190</v>
      </c>
      <c r="W3" s="17">
        <f t="shared" si="1"/>
        <v>57.303405047445167</v>
      </c>
      <c r="X3" s="17">
        <f t="shared" si="2"/>
        <v>24</v>
      </c>
      <c r="Y3">
        <f t="shared" si="3"/>
        <v>15</v>
      </c>
      <c r="Z3">
        <f t="shared" si="4"/>
        <v>7</v>
      </c>
      <c r="AA3">
        <f t="shared" ca="1" si="5"/>
        <v>0.83</v>
      </c>
      <c r="AB3">
        <f t="shared" si="6"/>
        <v>109</v>
      </c>
      <c r="AC3">
        <f t="shared" si="7"/>
        <v>234</v>
      </c>
      <c r="AD3">
        <f t="shared" si="8"/>
        <v>88</v>
      </c>
      <c r="AE3">
        <f t="shared" ca="1" si="9"/>
        <v>475</v>
      </c>
      <c r="AF3">
        <f t="shared" si="10"/>
        <v>431</v>
      </c>
      <c r="AG3">
        <f t="shared" ca="1" si="11"/>
        <v>906</v>
      </c>
    </row>
    <row r="4" spans="1:33">
      <c r="A4" s="6">
        <v>10</v>
      </c>
      <c r="B4" s="6" t="s">
        <v>305</v>
      </c>
      <c r="C4" s="19" t="s">
        <v>69</v>
      </c>
      <c r="D4" s="19" t="s">
        <v>19</v>
      </c>
      <c r="E4" s="19" t="s">
        <v>20</v>
      </c>
      <c r="F4" s="79">
        <v>17</v>
      </c>
      <c r="G4" s="19" t="s">
        <v>102</v>
      </c>
      <c r="H4" s="19">
        <v>205</v>
      </c>
      <c r="I4" s="19">
        <v>3072</v>
      </c>
      <c r="J4" s="19">
        <v>276</v>
      </c>
      <c r="K4" s="19">
        <v>5.39</v>
      </c>
      <c r="L4" s="19">
        <v>169</v>
      </c>
      <c r="M4" s="19">
        <v>0</v>
      </c>
      <c r="N4" s="19">
        <v>0</v>
      </c>
      <c r="O4" s="19">
        <v>73</v>
      </c>
      <c r="P4" s="19">
        <v>0.61230000000000007</v>
      </c>
      <c r="Q4" s="19">
        <v>0.68149999999999999</v>
      </c>
      <c r="R4" s="19">
        <v>2.3199999999999998</v>
      </c>
      <c r="S4" s="19">
        <v>10.25</v>
      </c>
      <c r="T4" s="19">
        <v>10.41</v>
      </c>
      <c r="U4" t="s">
        <v>103</v>
      </c>
      <c r="V4">
        <f t="shared" si="0"/>
        <v>200</v>
      </c>
      <c r="W4" s="17">
        <f t="shared" si="1"/>
        <v>44.158795132687963</v>
      </c>
      <c r="X4" s="17">
        <f t="shared" si="2"/>
        <v>20</v>
      </c>
      <c r="Y4">
        <f t="shared" si="3"/>
        <v>22.5</v>
      </c>
      <c r="Z4">
        <f t="shared" si="4"/>
        <v>7</v>
      </c>
      <c r="AA4">
        <f t="shared" ca="1" si="5"/>
        <v>0.76</v>
      </c>
      <c r="AB4">
        <f t="shared" si="6"/>
        <v>200</v>
      </c>
      <c r="AC4">
        <f t="shared" si="7"/>
        <v>192</v>
      </c>
      <c r="AD4">
        <f t="shared" si="8"/>
        <v>88</v>
      </c>
      <c r="AE4">
        <f t="shared" ca="1" si="9"/>
        <v>334</v>
      </c>
      <c r="AF4">
        <f t="shared" si="10"/>
        <v>480</v>
      </c>
      <c r="AG4">
        <f t="shared" ca="1" si="11"/>
        <v>814</v>
      </c>
    </row>
    <row r="5" spans="1:33">
      <c r="A5" s="6">
        <v>12</v>
      </c>
      <c r="B5" s="6" t="s">
        <v>305</v>
      </c>
      <c r="C5" s="19" t="s">
        <v>69</v>
      </c>
      <c r="D5" s="19" t="s">
        <v>19</v>
      </c>
      <c r="E5" s="19" t="s">
        <v>20</v>
      </c>
      <c r="F5" s="79">
        <v>17</v>
      </c>
      <c r="G5" s="19" t="s">
        <v>209</v>
      </c>
      <c r="H5" s="19">
        <v>210</v>
      </c>
      <c r="I5" s="19">
        <v>2300</v>
      </c>
      <c r="J5" s="19">
        <v>196</v>
      </c>
      <c r="K5" s="19">
        <v>3.73</v>
      </c>
      <c r="L5" s="19">
        <v>127</v>
      </c>
      <c r="M5" s="19">
        <v>0</v>
      </c>
      <c r="N5" s="19">
        <v>0</v>
      </c>
      <c r="O5" s="19">
        <v>58</v>
      </c>
      <c r="P5" s="19">
        <v>0.64800000000000002</v>
      </c>
      <c r="Q5" s="19">
        <v>0.6865</v>
      </c>
      <c r="R5" s="19">
        <v>2.19</v>
      </c>
      <c r="S5" s="19">
        <v>10.88</v>
      </c>
      <c r="T5" s="19">
        <v>10.84</v>
      </c>
      <c r="U5" t="s">
        <v>281</v>
      </c>
      <c r="V5">
        <f t="shared" si="0"/>
        <v>210</v>
      </c>
      <c r="W5" s="17">
        <f t="shared" si="1"/>
        <v>34.04439466193606</v>
      </c>
      <c r="X5" s="17">
        <f t="shared" si="2"/>
        <v>13</v>
      </c>
      <c r="Y5">
        <f t="shared" si="3"/>
        <v>29</v>
      </c>
      <c r="Z5">
        <f t="shared" si="4"/>
        <v>7</v>
      </c>
      <c r="AA5">
        <f t="shared" ca="1" si="5"/>
        <v>0.72</v>
      </c>
      <c r="AB5">
        <f t="shared" si="6"/>
        <v>293</v>
      </c>
      <c r="AC5">
        <f t="shared" si="7"/>
        <v>120</v>
      </c>
      <c r="AD5">
        <f t="shared" si="8"/>
        <v>88</v>
      </c>
      <c r="AE5">
        <f t="shared" ca="1" si="9"/>
        <v>269</v>
      </c>
      <c r="AF5">
        <f t="shared" si="10"/>
        <v>501</v>
      </c>
      <c r="AG5">
        <f t="shared" ca="1" si="11"/>
        <v>770</v>
      </c>
    </row>
    <row r="6" spans="1:33">
      <c r="A6" s="6">
        <v>9</v>
      </c>
      <c r="B6" s="6" t="s">
        <v>306</v>
      </c>
      <c r="C6" s="19" t="s">
        <v>228</v>
      </c>
      <c r="D6" s="19" t="s">
        <v>19</v>
      </c>
      <c r="E6" s="19" t="s">
        <v>20</v>
      </c>
      <c r="F6" s="79">
        <v>17</v>
      </c>
      <c r="G6" s="19" t="s">
        <v>210</v>
      </c>
      <c r="H6" s="19">
        <v>200</v>
      </c>
      <c r="I6" s="19">
        <v>2932</v>
      </c>
      <c r="J6" s="19">
        <v>250</v>
      </c>
      <c r="K6" s="19">
        <v>5</v>
      </c>
      <c r="L6" s="19">
        <v>159</v>
      </c>
      <c r="M6" s="19">
        <v>0</v>
      </c>
      <c r="N6" s="19">
        <v>0</v>
      </c>
      <c r="O6" s="19">
        <v>48</v>
      </c>
      <c r="P6" s="19">
        <v>0.63600000000000001</v>
      </c>
      <c r="Q6" s="19">
        <v>0.76440000000000008</v>
      </c>
      <c r="R6" s="19">
        <v>3.31</v>
      </c>
      <c r="S6" s="19">
        <v>9.89</v>
      </c>
      <c r="T6" s="19">
        <v>11.45</v>
      </c>
      <c r="U6" t="s">
        <v>245</v>
      </c>
      <c r="V6">
        <f t="shared" si="0"/>
        <v>200</v>
      </c>
      <c r="W6" s="17">
        <f t="shared" si="1"/>
        <v>62.08969102151719</v>
      </c>
      <c r="X6" s="17">
        <f t="shared" si="2"/>
        <v>28</v>
      </c>
      <c r="Y6">
        <f t="shared" si="3"/>
        <v>18</v>
      </c>
      <c r="Z6">
        <f t="shared" si="4"/>
        <v>7</v>
      </c>
      <c r="AA6">
        <f t="shared" ca="1" si="5"/>
        <v>0.52</v>
      </c>
      <c r="AB6">
        <f t="shared" si="6"/>
        <v>144</v>
      </c>
      <c r="AC6">
        <f t="shared" si="7"/>
        <v>277</v>
      </c>
      <c r="AD6">
        <f t="shared" si="8"/>
        <v>88</v>
      </c>
      <c r="AE6">
        <f t="shared" ca="1" si="9"/>
        <v>74</v>
      </c>
      <c r="AF6">
        <f t="shared" si="10"/>
        <v>509</v>
      </c>
      <c r="AG6">
        <f t="shared" ca="1" si="11"/>
        <v>583</v>
      </c>
    </row>
    <row r="7" spans="1:33">
      <c r="A7" s="6">
        <v>13</v>
      </c>
      <c r="B7" s="6" t="s">
        <v>304</v>
      </c>
      <c r="C7" s="19" t="s">
        <v>73</v>
      </c>
      <c r="D7" s="19" t="s">
        <v>19</v>
      </c>
      <c r="E7" s="19" t="s">
        <v>20</v>
      </c>
      <c r="F7" s="79">
        <v>17</v>
      </c>
      <c r="G7" s="19" t="s">
        <v>100</v>
      </c>
      <c r="H7" s="19">
        <v>212</v>
      </c>
      <c r="I7" s="19">
        <v>2125</v>
      </c>
      <c r="J7" s="19">
        <v>167</v>
      </c>
      <c r="K7" s="19">
        <v>3.15</v>
      </c>
      <c r="L7" s="19">
        <v>107</v>
      </c>
      <c r="M7" s="19">
        <v>0</v>
      </c>
      <c r="N7" s="19">
        <v>0</v>
      </c>
      <c r="O7" s="19">
        <v>40</v>
      </c>
      <c r="P7" s="19">
        <v>0.64070000000000005</v>
      </c>
      <c r="Q7" s="19">
        <v>0.68590000000000007</v>
      </c>
      <c r="R7" s="19">
        <v>2.67</v>
      </c>
      <c r="S7" s="19">
        <v>11.45</v>
      </c>
      <c r="T7" s="19">
        <v>11.62</v>
      </c>
      <c r="U7" t="s">
        <v>101</v>
      </c>
      <c r="V7">
        <f t="shared" si="0"/>
        <v>210</v>
      </c>
      <c r="W7" s="17">
        <f t="shared" si="1"/>
        <v>28.595427110280124</v>
      </c>
      <c r="X7" s="17">
        <f t="shared" si="2"/>
        <v>9</v>
      </c>
      <c r="Y7">
        <f t="shared" si="3"/>
        <v>33</v>
      </c>
      <c r="Z7">
        <f t="shared" si="4"/>
        <v>7</v>
      </c>
      <c r="AA7">
        <f t="shared" ca="1" si="5"/>
        <v>0.91</v>
      </c>
      <c r="AB7">
        <f t="shared" si="6"/>
        <v>356</v>
      </c>
      <c r="AC7">
        <f t="shared" si="7"/>
        <v>80</v>
      </c>
      <c r="AD7">
        <f t="shared" si="8"/>
        <v>88</v>
      </c>
      <c r="AE7">
        <f t="shared" ca="1" si="9"/>
        <v>686</v>
      </c>
      <c r="AF7">
        <f t="shared" si="10"/>
        <v>524</v>
      </c>
      <c r="AG7">
        <f t="shared" ca="1" si="11"/>
        <v>1210</v>
      </c>
    </row>
    <row r="8" spans="1:33">
      <c r="A8" s="6">
        <v>11</v>
      </c>
      <c r="B8" s="6" t="s">
        <v>307</v>
      </c>
      <c r="C8" s="19" t="s">
        <v>228</v>
      </c>
      <c r="D8" s="19" t="s">
        <v>19</v>
      </c>
      <c r="E8" s="19" t="s">
        <v>20</v>
      </c>
      <c r="F8" s="79">
        <v>17</v>
      </c>
      <c r="G8" s="19" t="s">
        <v>230</v>
      </c>
      <c r="H8" s="19">
        <v>206</v>
      </c>
      <c r="I8" s="19">
        <v>2530</v>
      </c>
      <c r="J8" s="19">
        <v>208</v>
      </c>
      <c r="K8" s="19">
        <v>4.04</v>
      </c>
      <c r="L8" s="19">
        <v>144</v>
      </c>
      <c r="M8" s="19">
        <v>0</v>
      </c>
      <c r="N8" s="19">
        <v>0</v>
      </c>
      <c r="O8" s="19">
        <v>34</v>
      </c>
      <c r="P8" s="19">
        <v>0.69230000000000003</v>
      </c>
      <c r="Q8" s="19">
        <v>0.77010000000000001</v>
      </c>
      <c r="R8" s="19">
        <v>4.24</v>
      </c>
      <c r="S8" s="19">
        <v>11.19</v>
      </c>
      <c r="T8" s="19">
        <v>11.42</v>
      </c>
      <c r="U8" t="s">
        <v>231</v>
      </c>
      <c r="V8">
        <f t="shared" si="0"/>
        <v>200</v>
      </c>
      <c r="W8" s="17">
        <f t="shared" si="1"/>
        <v>57.713501506031214</v>
      </c>
      <c r="X8" s="17">
        <f t="shared" si="2"/>
        <v>25</v>
      </c>
      <c r="Y8">
        <f t="shared" si="3"/>
        <v>24.5</v>
      </c>
      <c r="Z8">
        <f t="shared" si="4"/>
        <v>7</v>
      </c>
      <c r="AA8">
        <f t="shared" ca="1" si="5"/>
        <v>0.92</v>
      </c>
      <c r="AB8">
        <f t="shared" si="6"/>
        <v>228</v>
      </c>
      <c r="AC8">
        <f t="shared" si="7"/>
        <v>245</v>
      </c>
      <c r="AD8">
        <f t="shared" si="8"/>
        <v>88</v>
      </c>
      <c r="AE8">
        <f t="shared" ca="1" si="9"/>
        <v>717</v>
      </c>
      <c r="AF8">
        <f t="shared" si="10"/>
        <v>561</v>
      </c>
      <c r="AG8">
        <f t="shared" ca="1" si="11"/>
        <v>1278</v>
      </c>
    </row>
    <row r="9" spans="1:33">
      <c r="A9" s="6">
        <v>3</v>
      </c>
      <c r="B9" s="6" t="s">
        <v>305</v>
      </c>
      <c r="C9" s="19" t="s">
        <v>69</v>
      </c>
      <c r="D9" s="19" t="s">
        <v>19</v>
      </c>
      <c r="E9" s="19" t="s">
        <v>20</v>
      </c>
      <c r="F9" s="79">
        <v>17</v>
      </c>
      <c r="G9" s="19" t="s">
        <v>197</v>
      </c>
      <c r="H9" s="19">
        <v>180</v>
      </c>
      <c r="I9" s="19">
        <v>4761</v>
      </c>
      <c r="J9" s="19">
        <v>390</v>
      </c>
      <c r="K9" s="19">
        <v>8.67</v>
      </c>
      <c r="L9" s="19">
        <v>273</v>
      </c>
      <c r="M9" s="19">
        <v>0</v>
      </c>
      <c r="N9" s="19">
        <v>0</v>
      </c>
      <c r="O9" s="19">
        <v>50</v>
      </c>
      <c r="P9" s="19">
        <v>0.7</v>
      </c>
      <c r="Q9" s="19">
        <v>0.83230000000000004</v>
      </c>
      <c r="R9" s="19">
        <v>5.46</v>
      </c>
      <c r="S9" s="19">
        <v>9.57</v>
      </c>
      <c r="T9" s="19">
        <v>10.59</v>
      </c>
      <c r="U9" t="s">
        <v>219</v>
      </c>
      <c r="V9">
        <f t="shared" si="0"/>
        <v>180</v>
      </c>
      <c r="W9" s="17">
        <f t="shared" si="1"/>
        <v>143.59597879183372</v>
      </c>
      <c r="X9" s="17">
        <f t="shared" si="2"/>
        <v>47</v>
      </c>
      <c r="Y9">
        <f t="shared" si="3"/>
        <v>3</v>
      </c>
      <c r="Z9">
        <f t="shared" si="4"/>
        <v>7</v>
      </c>
      <c r="AA9">
        <f t="shared" ca="1" si="5"/>
        <v>0.53</v>
      </c>
      <c r="AB9">
        <f t="shared" si="6"/>
        <v>10</v>
      </c>
      <c r="AC9">
        <f t="shared" si="7"/>
        <v>490</v>
      </c>
      <c r="AD9">
        <f t="shared" si="8"/>
        <v>88</v>
      </c>
      <c r="AE9">
        <f t="shared" ca="1" si="9"/>
        <v>79</v>
      </c>
      <c r="AF9">
        <f t="shared" si="10"/>
        <v>588</v>
      </c>
      <c r="AG9">
        <f t="shared" ca="1" si="11"/>
        <v>667</v>
      </c>
    </row>
    <row r="10" spans="1:33">
      <c r="A10" s="6">
        <v>4</v>
      </c>
      <c r="B10" s="6" t="s">
        <v>308</v>
      </c>
      <c r="C10" s="19" t="s">
        <v>32</v>
      </c>
      <c r="D10" s="19" t="s">
        <v>19</v>
      </c>
      <c r="E10" s="19" t="s">
        <v>20</v>
      </c>
      <c r="F10" s="79">
        <v>17</v>
      </c>
      <c r="G10" s="19" t="s">
        <v>34</v>
      </c>
      <c r="H10" s="19">
        <v>183</v>
      </c>
      <c r="I10" s="19">
        <v>4775</v>
      </c>
      <c r="J10" s="19">
        <v>341</v>
      </c>
      <c r="K10" s="19">
        <v>7.45</v>
      </c>
      <c r="L10" s="19">
        <v>280</v>
      </c>
      <c r="M10" s="19">
        <v>0</v>
      </c>
      <c r="N10" s="19">
        <v>0</v>
      </c>
      <c r="O10" s="19">
        <v>24</v>
      </c>
      <c r="P10" s="19">
        <v>0.82110000000000005</v>
      </c>
      <c r="Q10" s="19">
        <v>0.875</v>
      </c>
      <c r="R10" s="19">
        <v>11.67</v>
      </c>
      <c r="S10" s="19">
        <v>11.38</v>
      </c>
      <c r="T10" s="19">
        <v>11.38</v>
      </c>
      <c r="U10" t="s">
        <v>35</v>
      </c>
      <c r="V10">
        <f t="shared" si="0"/>
        <v>180</v>
      </c>
      <c r="W10" s="17">
        <f t="shared" si="1"/>
        <v>175.4632692508639</v>
      </c>
      <c r="X10" s="17">
        <f t="shared" si="2"/>
        <v>53</v>
      </c>
      <c r="Y10">
        <f t="shared" si="3"/>
        <v>4</v>
      </c>
      <c r="Z10">
        <f t="shared" si="4"/>
        <v>7</v>
      </c>
      <c r="AA10">
        <f t="shared" ca="1" si="5"/>
        <v>0.86</v>
      </c>
      <c r="AB10">
        <f t="shared" si="6"/>
        <v>15</v>
      </c>
      <c r="AC10">
        <f t="shared" si="7"/>
        <v>559</v>
      </c>
      <c r="AD10">
        <f t="shared" si="8"/>
        <v>88</v>
      </c>
      <c r="AE10">
        <f t="shared" ca="1" si="9"/>
        <v>548</v>
      </c>
      <c r="AF10">
        <f t="shared" si="10"/>
        <v>662</v>
      </c>
      <c r="AG10">
        <f t="shared" ca="1" si="11"/>
        <v>1210</v>
      </c>
    </row>
    <row r="11" spans="1:33">
      <c r="A11" s="6">
        <v>5</v>
      </c>
      <c r="B11" s="61" t="s">
        <v>309</v>
      </c>
      <c r="C11" s="19" t="s">
        <v>36</v>
      </c>
      <c r="D11" s="19" t="s">
        <v>19</v>
      </c>
      <c r="E11" s="19" t="s">
        <v>20</v>
      </c>
      <c r="F11" s="79">
        <v>17</v>
      </c>
      <c r="G11" s="19" t="s">
        <v>196</v>
      </c>
      <c r="H11" s="19">
        <v>187</v>
      </c>
      <c r="I11" s="19">
        <v>4208</v>
      </c>
      <c r="J11" s="19">
        <v>280</v>
      </c>
      <c r="K11" s="19">
        <v>5.99</v>
      </c>
      <c r="L11" s="19">
        <v>253</v>
      </c>
      <c r="M11" s="19">
        <v>0</v>
      </c>
      <c r="N11" s="19">
        <v>0</v>
      </c>
      <c r="O11" s="19">
        <v>8</v>
      </c>
      <c r="P11" s="19">
        <v>0.90360000000000007</v>
      </c>
      <c r="Q11" s="19">
        <v>0.91670000000000007</v>
      </c>
      <c r="R11" s="19">
        <v>31.62</v>
      </c>
      <c r="S11" s="19">
        <v>11.92</v>
      </c>
      <c r="T11" s="19">
        <v>11.88</v>
      </c>
      <c r="U11" t="s">
        <v>273</v>
      </c>
      <c r="V11">
        <f t="shared" si="0"/>
        <v>180</v>
      </c>
      <c r="W11" s="17">
        <f t="shared" si="1"/>
        <v>186.60180093452544</v>
      </c>
      <c r="X11" s="17">
        <f t="shared" si="2"/>
        <v>55</v>
      </c>
      <c r="Y11">
        <f t="shared" si="3"/>
        <v>6</v>
      </c>
      <c r="Z11">
        <f t="shared" si="4"/>
        <v>7</v>
      </c>
      <c r="AA11">
        <f t="shared" ca="1" si="5"/>
        <v>0.84</v>
      </c>
      <c r="AB11">
        <f t="shared" si="6"/>
        <v>28</v>
      </c>
      <c r="AC11">
        <f t="shared" si="7"/>
        <v>582</v>
      </c>
      <c r="AD11">
        <f t="shared" si="8"/>
        <v>88</v>
      </c>
      <c r="AE11">
        <f t="shared" ca="1" si="9"/>
        <v>498</v>
      </c>
      <c r="AF11">
        <f t="shared" si="10"/>
        <v>698</v>
      </c>
      <c r="AG11">
        <f t="shared" ca="1" si="11"/>
        <v>1196</v>
      </c>
    </row>
    <row r="12" spans="1:33">
      <c r="A12" s="6">
        <v>7</v>
      </c>
      <c r="B12" s="6" t="s">
        <v>304</v>
      </c>
      <c r="C12" s="19" t="s">
        <v>87</v>
      </c>
      <c r="D12" s="19" t="s">
        <v>19</v>
      </c>
      <c r="E12" s="19" t="s">
        <v>20</v>
      </c>
      <c r="F12" s="79">
        <v>17</v>
      </c>
      <c r="G12" s="19" t="s">
        <v>98</v>
      </c>
      <c r="H12" s="19">
        <v>190</v>
      </c>
      <c r="I12" s="19">
        <v>3277</v>
      </c>
      <c r="J12" s="19">
        <v>217</v>
      </c>
      <c r="K12" s="19">
        <v>4.57</v>
      </c>
      <c r="L12" s="19">
        <v>203</v>
      </c>
      <c r="M12" s="19">
        <v>0</v>
      </c>
      <c r="N12" s="19">
        <v>0</v>
      </c>
      <c r="O12" s="19">
        <v>0</v>
      </c>
      <c r="P12" s="19">
        <v>0.9355</v>
      </c>
      <c r="Q12" s="19">
        <v>0.97599999999999998</v>
      </c>
      <c r="R12" s="19">
        <v>0</v>
      </c>
      <c r="S12" s="19">
        <v>12.53</v>
      </c>
      <c r="T12" s="19">
        <v>12.47</v>
      </c>
      <c r="U12" t="s">
        <v>99</v>
      </c>
      <c r="V12">
        <f t="shared" si="0"/>
        <v>190</v>
      </c>
      <c r="W12" s="17">
        <f t="shared" si="1"/>
        <v>186.45343974062627</v>
      </c>
      <c r="X12" s="17">
        <f t="shared" si="2"/>
        <v>54</v>
      </c>
      <c r="Y12">
        <f t="shared" si="3"/>
        <v>9.5</v>
      </c>
      <c r="Z12">
        <f t="shared" si="4"/>
        <v>7</v>
      </c>
      <c r="AA12">
        <f t="shared" ca="1" si="5"/>
        <v>0.85</v>
      </c>
      <c r="AB12">
        <f t="shared" si="6"/>
        <v>55</v>
      </c>
      <c r="AC12">
        <f t="shared" si="7"/>
        <v>571</v>
      </c>
      <c r="AD12">
        <f t="shared" si="8"/>
        <v>88</v>
      </c>
      <c r="AE12">
        <f t="shared" ca="1" si="9"/>
        <v>523</v>
      </c>
      <c r="AF12">
        <f t="shared" si="10"/>
        <v>714</v>
      </c>
      <c r="AG12">
        <f t="shared" ca="1" si="11"/>
        <v>1237</v>
      </c>
    </row>
    <row r="13" spans="1:33">
      <c r="A13" s="6">
        <v>1</v>
      </c>
      <c r="B13" s="6" t="s">
        <v>308</v>
      </c>
      <c r="C13" s="19" t="s">
        <v>211</v>
      </c>
      <c r="D13" s="19" t="s">
        <v>19</v>
      </c>
      <c r="E13" s="19" t="s">
        <v>20</v>
      </c>
      <c r="F13" s="79">
        <v>17</v>
      </c>
      <c r="G13" s="19" t="s">
        <v>249</v>
      </c>
      <c r="H13" s="19">
        <v>175</v>
      </c>
      <c r="I13" s="19">
        <v>5006</v>
      </c>
      <c r="J13" s="19">
        <v>334</v>
      </c>
      <c r="K13" s="19">
        <v>7.63</v>
      </c>
      <c r="L13" s="19">
        <v>303</v>
      </c>
      <c r="M13" s="19">
        <v>0</v>
      </c>
      <c r="N13" s="19">
        <v>0</v>
      </c>
      <c r="O13" s="19">
        <v>10</v>
      </c>
      <c r="P13" s="19">
        <v>0.90720000000000001</v>
      </c>
      <c r="Q13" s="19">
        <v>0.93230000000000002</v>
      </c>
      <c r="R13" s="19">
        <v>30.3</v>
      </c>
      <c r="S13" s="19">
        <v>11.13</v>
      </c>
      <c r="T13" s="19">
        <v>11.2</v>
      </c>
      <c r="U13" t="s">
        <v>250</v>
      </c>
      <c r="V13">
        <f t="shared" si="0"/>
        <v>170</v>
      </c>
      <c r="W13" s="17">
        <f t="shared" si="1"/>
        <v>237.07596296773912</v>
      </c>
      <c r="X13" s="17">
        <f t="shared" si="2"/>
        <v>64</v>
      </c>
      <c r="Y13">
        <f t="shared" si="3"/>
        <v>1.5</v>
      </c>
      <c r="Z13">
        <f t="shared" si="4"/>
        <v>7</v>
      </c>
      <c r="AA13">
        <f t="shared" ca="1" si="5"/>
        <v>0.52</v>
      </c>
      <c r="AB13">
        <f t="shared" si="6"/>
        <v>4</v>
      </c>
      <c r="AC13">
        <f t="shared" si="7"/>
        <v>688</v>
      </c>
      <c r="AD13">
        <f t="shared" si="8"/>
        <v>88</v>
      </c>
      <c r="AE13">
        <f t="shared" ca="1" si="9"/>
        <v>74</v>
      </c>
      <c r="AF13">
        <f t="shared" si="10"/>
        <v>780</v>
      </c>
      <c r="AG13">
        <f t="shared" ca="1" si="11"/>
        <v>854</v>
      </c>
    </row>
    <row r="14" spans="1:33">
      <c r="A14" s="6">
        <v>2</v>
      </c>
      <c r="B14" s="61" t="s">
        <v>309</v>
      </c>
      <c r="C14" s="19" t="s">
        <v>36</v>
      </c>
      <c r="D14" s="19" t="s">
        <v>19</v>
      </c>
      <c r="E14" s="19" t="s">
        <v>20</v>
      </c>
      <c r="F14" s="79">
        <v>17</v>
      </c>
      <c r="G14" s="19" t="s">
        <v>41</v>
      </c>
      <c r="H14" s="19">
        <v>175</v>
      </c>
      <c r="I14" s="19">
        <v>5724</v>
      </c>
      <c r="J14" s="19">
        <v>371</v>
      </c>
      <c r="K14" s="19">
        <v>8.49</v>
      </c>
      <c r="L14" s="19">
        <v>349</v>
      </c>
      <c r="M14" s="19">
        <v>0</v>
      </c>
      <c r="N14" s="19">
        <v>0</v>
      </c>
      <c r="O14" s="19">
        <v>3</v>
      </c>
      <c r="P14" s="19">
        <v>0.94070000000000009</v>
      </c>
      <c r="Q14" s="19">
        <v>0.96410000000000007</v>
      </c>
      <c r="R14" s="19">
        <v>116.33</v>
      </c>
      <c r="S14" s="19">
        <v>11.51</v>
      </c>
      <c r="T14" s="19">
        <v>11.49</v>
      </c>
      <c r="U14" t="s">
        <v>42</v>
      </c>
      <c r="V14">
        <f t="shared" si="0"/>
        <v>170</v>
      </c>
      <c r="W14" s="17">
        <f t="shared" si="1"/>
        <v>307.08083791542168</v>
      </c>
      <c r="X14" s="17">
        <f t="shared" si="2"/>
        <v>72</v>
      </c>
      <c r="Y14">
        <f t="shared" si="3"/>
        <v>1.5</v>
      </c>
      <c r="Z14">
        <f t="shared" si="4"/>
        <v>7</v>
      </c>
      <c r="AA14">
        <f t="shared" ca="1" si="5"/>
        <v>0.78</v>
      </c>
      <c r="AB14">
        <f t="shared" si="6"/>
        <v>4</v>
      </c>
      <c r="AC14">
        <f t="shared" si="7"/>
        <v>783</v>
      </c>
      <c r="AD14">
        <f t="shared" si="8"/>
        <v>88</v>
      </c>
      <c r="AE14">
        <f t="shared" ca="1" si="9"/>
        <v>371</v>
      </c>
      <c r="AF14">
        <f t="shared" si="10"/>
        <v>875</v>
      </c>
      <c r="AG14">
        <f t="shared" ca="1" si="11"/>
        <v>1246</v>
      </c>
    </row>
    <row r="15" spans="1:33">
      <c r="A15" s="6">
        <v>24</v>
      </c>
      <c r="B15" s="6" t="s">
        <v>310</v>
      </c>
      <c r="C15" s="19" t="s">
        <v>222</v>
      </c>
      <c r="D15" s="19" t="s">
        <v>19</v>
      </c>
      <c r="E15" s="19" t="s">
        <v>20</v>
      </c>
      <c r="F15" s="79">
        <v>18</v>
      </c>
      <c r="G15" s="19" t="s">
        <v>208</v>
      </c>
      <c r="H15" s="19">
        <v>214</v>
      </c>
      <c r="I15" s="19">
        <v>2549</v>
      </c>
      <c r="J15" s="19">
        <v>206</v>
      </c>
      <c r="K15" s="19">
        <v>3.85</v>
      </c>
      <c r="L15" s="19">
        <v>126</v>
      </c>
      <c r="M15" s="19">
        <v>0</v>
      </c>
      <c r="N15" s="19">
        <v>0</v>
      </c>
      <c r="O15" s="19">
        <v>47</v>
      </c>
      <c r="P15" s="19">
        <v>0.61170000000000002</v>
      </c>
      <c r="Q15" s="19">
        <v>0.72830000000000006</v>
      </c>
      <c r="R15" s="19">
        <v>2.68</v>
      </c>
      <c r="S15" s="19">
        <v>11.66</v>
      </c>
      <c r="T15" s="19">
        <v>12.43</v>
      </c>
      <c r="U15" t="s">
        <v>223</v>
      </c>
      <c r="V15">
        <f t="shared" si="0"/>
        <v>210</v>
      </c>
      <c r="W15" s="17">
        <f t="shared" si="1"/>
        <v>41.539056693372018</v>
      </c>
      <c r="X15" s="17">
        <f t="shared" si="2"/>
        <v>19</v>
      </c>
      <c r="Y15">
        <f t="shared" si="3"/>
        <v>36</v>
      </c>
      <c r="Z15">
        <f t="shared" si="4"/>
        <v>20</v>
      </c>
      <c r="AA15">
        <f t="shared" ca="1" si="5"/>
        <v>0.95</v>
      </c>
      <c r="AB15">
        <f t="shared" si="6"/>
        <v>405</v>
      </c>
      <c r="AC15">
        <f t="shared" si="7"/>
        <v>181</v>
      </c>
      <c r="AD15">
        <f t="shared" si="8"/>
        <v>291</v>
      </c>
      <c r="AE15">
        <f t="shared" ca="1" si="9"/>
        <v>815</v>
      </c>
      <c r="AF15">
        <f t="shared" si="10"/>
        <v>877</v>
      </c>
      <c r="AG15">
        <f t="shared" ca="1" si="11"/>
        <v>1692</v>
      </c>
    </row>
    <row r="16" spans="1:33">
      <c r="A16" s="6">
        <v>17</v>
      </c>
      <c r="B16" s="6" t="s">
        <v>305</v>
      </c>
      <c r="C16" s="19" t="s">
        <v>69</v>
      </c>
      <c r="D16" s="19" t="s">
        <v>19</v>
      </c>
      <c r="E16" s="19" t="s">
        <v>20</v>
      </c>
      <c r="F16" s="79">
        <v>18</v>
      </c>
      <c r="G16" s="19" t="s">
        <v>97</v>
      </c>
      <c r="H16" s="19">
        <v>191</v>
      </c>
      <c r="I16" s="19">
        <v>5882</v>
      </c>
      <c r="J16" s="19">
        <v>435</v>
      </c>
      <c r="K16" s="19">
        <v>9.11</v>
      </c>
      <c r="L16" s="19">
        <v>343</v>
      </c>
      <c r="M16" s="19">
        <v>0</v>
      </c>
      <c r="N16" s="19">
        <v>0</v>
      </c>
      <c r="O16" s="19">
        <v>68</v>
      </c>
      <c r="P16" s="19">
        <v>0.78850000000000009</v>
      </c>
      <c r="Q16" s="19">
        <v>0.81280000000000008</v>
      </c>
      <c r="R16" s="19">
        <v>5.04</v>
      </c>
      <c r="S16" s="19">
        <v>11.01</v>
      </c>
      <c r="T16" s="19">
        <v>11.04</v>
      </c>
      <c r="U16" t="s">
        <v>267</v>
      </c>
      <c r="V16">
        <f t="shared" si="0"/>
        <v>190</v>
      </c>
      <c r="W16" s="17">
        <f t="shared" si="1"/>
        <v>166.04930122827719</v>
      </c>
      <c r="X16" s="17">
        <f t="shared" si="2"/>
        <v>49</v>
      </c>
      <c r="Y16">
        <f t="shared" si="3"/>
        <v>12</v>
      </c>
      <c r="Z16">
        <f t="shared" si="4"/>
        <v>20</v>
      </c>
      <c r="AA16">
        <f t="shared" ca="1" si="5"/>
        <v>0.55000000000000004</v>
      </c>
      <c r="AB16">
        <f t="shared" si="6"/>
        <v>78</v>
      </c>
      <c r="AC16">
        <f t="shared" si="7"/>
        <v>513</v>
      </c>
      <c r="AD16">
        <f t="shared" si="8"/>
        <v>291</v>
      </c>
      <c r="AE16">
        <f t="shared" ca="1" si="9"/>
        <v>92</v>
      </c>
      <c r="AF16">
        <f t="shared" si="10"/>
        <v>882</v>
      </c>
      <c r="AG16">
        <f t="shared" ca="1" si="11"/>
        <v>974</v>
      </c>
    </row>
    <row r="17" spans="1:33">
      <c r="A17" s="6">
        <v>21</v>
      </c>
      <c r="B17" s="6" t="s">
        <v>310</v>
      </c>
      <c r="C17" s="19" t="s">
        <v>283</v>
      </c>
      <c r="D17" s="19" t="s">
        <v>19</v>
      </c>
      <c r="E17" s="19" t="s">
        <v>20</v>
      </c>
      <c r="F17" s="79">
        <v>18</v>
      </c>
      <c r="G17" s="19" t="s">
        <v>195</v>
      </c>
      <c r="H17" s="19">
        <v>206</v>
      </c>
      <c r="I17" s="19">
        <v>3764</v>
      </c>
      <c r="J17" s="19">
        <v>273</v>
      </c>
      <c r="K17" s="19">
        <v>5.3</v>
      </c>
      <c r="L17" s="19">
        <v>207</v>
      </c>
      <c r="M17" s="19">
        <v>0</v>
      </c>
      <c r="N17" s="19">
        <v>0</v>
      </c>
      <c r="O17" s="19">
        <v>37</v>
      </c>
      <c r="P17" s="19">
        <v>0.75819999999999999</v>
      </c>
      <c r="Q17" s="19">
        <v>0.81820000000000004</v>
      </c>
      <c r="R17" s="19">
        <v>5.59</v>
      </c>
      <c r="S17" s="19">
        <v>12.33</v>
      </c>
      <c r="T17" s="19">
        <v>12.53</v>
      </c>
      <c r="U17" t="s">
        <v>256</v>
      </c>
      <c r="V17">
        <f t="shared" si="0"/>
        <v>200</v>
      </c>
      <c r="W17" s="17">
        <f t="shared" si="1"/>
        <v>102.56011721477034</v>
      </c>
      <c r="X17" s="17">
        <f t="shared" si="2"/>
        <v>40</v>
      </c>
      <c r="Y17">
        <f t="shared" si="3"/>
        <v>24.5</v>
      </c>
      <c r="Z17">
        <f t="shared" si="4"/>
        <v>20</v>
      </c>
      <c r="AA17">
        <f t="shared" ca="1" si="5"/>
        <v>0.75</v>
      </c>
      <c r="AB17">
        <f t="shared" si="6"/>
        <v>228</v>
      </c>
      <c r="AC17">
        <f t="shared" si="7"/>
        <v>410</v>
      </c>
      <c r="AD17">
        <f t="shared" si="8"/>
        <v>291</v>
      </c>
      <c r="AE17">
        <f t="shared" ca="1" si="9"/>
        <v>317</v>
      </c>
      <c r="AF17">
        <f t="shared" si="10"/>
        <v>929</v>
      </c>
      <c r="AG17">
        <f t="shared" ca="1" si="11"/>
        <v>1246</v>
      </c>
    </row>
    <row r="18" spans="1:33">
      <c r="A18" s="6">
        <v>15</v>
      </c>
      <c r="B18" s="6" t="s">
        <v>310</v>
      </c>
      <c r="C18" s="19" t="s">
        <v>283</v>
      </c>
      <c r="D18" s="19" t="s">
        <v>19</v>
      </c>
      <c r="E18" s="19" t="s">
        <v>20</v>
      </c>
      <c r="F18" s="79">
        <v>18</v>
      </c>
      <c r="G18" s="19" t="s">
        <v>259</v>
      </c>
      <c r="H18" s="19">
        <v>188</v>
      </c>
      <c r="I18" s="19">
        <v>4766</v>
      </c>
      <c r="J18" s="19">
        <v>345</v>
      </c>
      <c r="K18" s="19">
        <v>7.34</v>
      </c>
      <c r="L18" s="19">
        <v>288</v>
      </c>
      <c r="M18" s="19">
        <v>0</v>
      </c>
      <c r="N18" s="19">
        <v>0</v>
      </c>
      <c r="O18" s="19">
        <v>20</v>
      </c>
      <c r="P18" s="19">
        <v>0.83479999999999999</v>
      </c>
      <c r="Q18" s="19">
        <v>0.9114000000000001</v>
      </c>
      <c r="R18" s="19">
        <v>14.4</v>
      </c>
      <c r="S18" s="19">
        <v>11.25</v>
      </c>
      <c r="T18" s="19">
        <v>11.67</v>
      </c>
      <c r="U18" t="s">
        <v>260</v>
      </c>
      <c r="V18">
        <f t="shared" si="0"/>
        <v>180</v>
      </c>
      <c r="W18" s="17">
        <f t="shared" si="1"/>
        <v>208.14887723396009</v>
      </c>
      <c r="X18" s="17">
        <f t="shared" si="2"/>
        <v>58</v>
      </c>
      <c r="Y18">
        <f t="shared" si="3"/>
        <v>7</v>
      </c>
      <c r="Z18">
        <f t="shared" si="4"/>
        <v>20</v>
      </c>
      <c r="AA18">
        <f t="shared" ca="1" si="5"/>
        <v>0.57999999999999996</v>
      </c>
      <c r="AB18">
        <f t="shared" si="6"/>
        <v>35</v>
      </c>
      <c r="AC18">
        <f t="shared" si="7"/>
        <v>617</v>
      </c>
      <c r="AD18">
        <f t="shared" si="8"/>
        <v>291</v>
      </c>
      <c r="AE18">
        <f t="shared" ca="1" si="9"/>
        <v>114</v>
      </c>
      <c r="AF18">
        <f t="shared" si="10"/>
        <v>943</v>
      </c>
      <c r="AG18">
        <f t="shared" ca="1" si="11"/>
        <v>1057</v>
      </c>
    </row>
    <row r="19" spans="1:33">
      <c r="A19" s="6">
        <v>22</v>
      </c>
      <c r="B19" s="6" t="s">
        <v>311</v>
      </c>
      <c r="C19" s="19" t="s">
        <v>284</v>
      </c>
      <c r="D19" s="19" t="s">
        <v>19</v>
      </c>
      <c r="E19" s="19" t="s">
        <v>20</v>
      </c>
      <c r="F19" s="79">
        <v>18</v>
      </c>
      <c r="G19" s="19" t="s">
        <v>278</v>
      </c>
      <c r="H19" s="19">
        <v>212</v>
      </c>
      <c r="I19" s="19">
        <v>3606</v>
      </c>
      <c r="J19" s="19">
        <v>297</v>
      </c>
      <c r="K19" s="19">
        <v>5.6</v>
      </c>
      <c r="L19" s="19">
        <v>193</v>
      </c>
      <c r="M19" s="19">
        <v>0</v>
      </c>
      <c r="N19" s="19">
        <v>0</v>
      </c>
      <c r="O19" s="19">
        <v>64</v>
      </c>
      <c r="P19" s="19">
        <v>0.64980000000000004</v>
      </c>
      <c r="Q19" s="19">
        <v>0.73110000000000008</v>
      </c>
      <c r="R19" s="19">
        <v>3.02</v>
      </c>
      <c r="S19" s="19">
        <v>11.38</v>
      </c>
      <c r="T19" s="19">
        <v>11.77</v>
      </c>
      <c r="U19" t="s">
        <v>279</v>
      </c>
      <c r="V19">
        <f t="shared" si="0"/>
        <v>210</v>
      </c>
      <c r="W19" s="17">
        <f t="shared" si="1"/>
        <v>64.487575994957623</v>
      </c>
      <c r="X19" s="17">
        <f t="shared" si="2"/>
        <v>30</v>
      </c>
      <c r="Y19">
        <f t="shared" si="3"/>
        <v>33</v>
      </c>
      <c r="Z19">
        <f t="shared" si="4"/>
        <v>20</v>
      </c>
      <c r="AA19">
        <f t="shared" ca="1" si="5"/>
        <v>0.71</v>
      </c>
      <c r="AB19">
        <f t="shared" si="6"/>
        <v>356</v>
      </c>
      <c r="AC19">
        <f t="shared" si="7"/>
        <v>299</v>
      </c>
      <c r="AD19">
        <f t="shared" si="8"/>
        <v>291</v>
      </c>
      <c r="AE19">
        <f t="shared" ca="1" si="9"/>
        <v>255</v>
      </c>
      <c r="AF19">
        <f t="shared" si="10"/>
        <v>946</v>
      </c>
      <c r="AG19">
        <f t="shared" ca="1" si="11"/>
        <v>1201</v>
      </c>
    </row>
    <row r="20" spans="1:33">
      <c r="A20" s="6">
        <v>20</v>
      </c>
      <c r="B20" s="6" t="s">
        <v>312</v>
      </c>
      <c r="C20" s="19" t="s">
        <v>27</v>
      </c>
      <c r="D20" s="19" t="s">
        <v>19</v>
      </c>
      <c r="E20" s="19" t="s">
        <v>20</v>
      </c>
      <c r="F20" s="79">
        <v>18</v>
      </c>
      <c r="G20" s="19" t="s">
        <v>28</v>
      </c>
      <c r="H20" s="19">
        <v>205</v>
      </c>
      <c r="I20" s="19">
        <v>3221</v>
      </c>
      <c r="J20" s="19">
        <v>226</v>
      </c>
      <c r="K20" s="19">
        <v>4.41</v>
      </c>
      <c r="L20" s="19">
        <v>194</v>
      </c>
      <c r="M20" s="19">
        <v>0</v>
      </c>
      <c r="N20" s="19">
        <v>0</v>
      </c>
      <c r="O20" s="19">
        <v>14</v>
      </c>
      <c r="P20" s="19">
        <v>0.85840000000000005</v>
      </c>
      <c r="Q20" s="19">
        <v>0.91080000000000005</v>
      </c>
      <c r="R20" s="19">
        <v>13.86</v>
      </c>
      <c r="S20" s="19">
        <v>12.45</v>
      </c>
      <c r="T20" s="19">
        <v>12.69</v>
      </c>
      <c r="U20" t="s">
        <v>29</v>
      </c>
      <c r="V20">
        <f t="shared" si="0"/>
        <v>200</v>
      </c>
      <c r="W20" s="17">
        <f t="shared" si="1"/>
        <v>139.88859450440032</v>
      </c>
      <c r="X20" s="17">
        <f t="shared" si="2"/>
        <v>46</v>
      </c>
      <c r="Y20">
        <f t="shared" si="3"/>
        <v>22.5</v>
      </c>
      <c r="Z20">
        <f t="shared" si="4"/>
        <v>20</v>
      </c>
      <c r="AA20">
        <f t="shared" ca="1" si="5"/>
        <v>0.8</v>
      </c>
      <c r="AB20">
        <f t="shared" si="6"/>
        <v>200</v>
      </c>
      <c r="AC20">
        <f t="shared" si="7"/>
        <v>478</v>
      </c>
      <c r="AD20">
        <f t="shared" si="8"/>
        <v>291</v>
      </c>
      <c r="AE20">
        <f t="shared" ca="1" si="9"/>
        <v>410</v>
      </c>
      <c r="AF20">
        <f t="shared" si="10"/>
        <v>969</v>
      </c>
      <c r="AG20">
        <f t="shared" ca="1" si="11"/>
        <v>1379</v>
      </c>
    </row>
    <row r="21" spans="1:33">
      <c r="A21" s="6">
        <v>19</v>
      </c>
      <c r="B21" s="6" t="s">
        <v>304</v>
      </c>
      <c r="C21" s="19" t="s">
        <v>36</v>
      </c>
      <c r="D21" s="19" t="s">
        <v>19</v>
      </c>
      <c r="E21" s="19" t="s">
        <v>20</v>
      </c>
      <c r="F21" s="79">
        <v>18</v>
      </c>
      <c r="G21" s="19" t="s">
        <v>49</v>
      </c>
      <c r="H21" s="19">
        <v>200</v>
      </c>
      <c r="I21" s="19">
        <v>4661</v>
      </c>
      <c r="J21" s="19">
        <v>333</v>
      </c>
      <c r="K21" s="19">
        <v>6.66</v>
      </c>
      <c r="L21" s="19">
        <v>276</v>
      </c>
      <c r="M21" s="19">
        <v>0</v>
      </c>
      <c r="N21" s="19">
        <v>0</v>
      </c>
      <c r="O21" s="19">
        <v>23</v>
      </c>
      <c r="P21" s="19">
        <v>0.82880000000000009</v>
      </c>
      <c r="Q21" s="19">
        <v>0.87620000000000009</v>
      </c>
      <c r="R21" s="19">
        <v>12</v>
      </c>
      <c r="S21" s="19">
        <v>12.33</v>
      </c>
      <c r="T21" s="19">
        <v>12.33</v>
      </c>
      <c r="U21" t="s">
        <v>50</v>
      </c>
      <c r="V21">
        <f t="shared" si="0"/>
        <v>200</v>
      </c>
      <c r="W21" s="17">
        <f t="shared" si="1"/>
        <v>173.78826720630272</v>
      </c>
      <c r="X21" s="17">
        <f t="shared" si="2"/>
        <v>52</v>
      </c>
      <c r="Y21">
        <f t="shared" si="3"/>
        <v>18</v>
      </c>
      <c r="Z21">
        <f t="shared" si="4"/>
        <v>20</v>
      </c>
      <c r="AA21">
        <f t="shared" ca="1" si="5"/>
        <v>0.63</v>
      </c>
      <c r="AB21">
        <f t="shared" si="6"/>
        <v>144</v>
      </c>
      <c r="AC21">
        <f t="shared" si="7"/>
        <v>547</v>
      </c>
      <c r="AD21">
        <f t="shared" si="8"/>
        <v>291</v>
      </c>
      <c r="AE21">
        <f t="shared" ca="1" si="9"/>
        <v>158</v>
      </c>
      <c r="AF21">
        <f t="shared" si="10"/>
        <v>982</v>
      </c>
      <c r="AG21">
        <f t="shared" ca="1" si="11"/>
        <v>1140</v>
      </c>
    </row>
    <row r="22" spans="1:33">
      <c r="A22" s="6">
        <v>16</v>
      </c>
      <c r="B22" s="61" t="s">
        <v>309</v>
      </c>
      <c r="C22" s="19" t="s">
        <v>36</v>
      </c>
      <c r="D22" s="19" t="s">
        <v>19</v>
      </c>
      <c r="E22" s="19" t="s">
        <v>20</v>
      </c>
      <c r="F22" s="79">
        <v>18</v>
      </c>
      <c r="G22" s="19" t="s">
        <v>37</v>
      </c>
      <c r="H22" s="19">
        <v>190</v>
      </c>
      <c r="I22" s="19">
        <v>4460</v>
      </c>
      <c r="J22" s="19">
        <v>301</v>
      </c>
      <c r="K22" s="19">
        <v>6.34</v>
      </c>
      <c r="L22" s="19">
        <v>270</v>
      </c>
      <c r="M22" s="19">
        <v>0</v>
      </c>
      <c r="N22" s="19">
        <v>0</v>
      </c>
      <c r="O22" s="19">
        <v>4</v>
      </c>
      <c r="P22" s="19">
        <v>0.89700000000000002</v>
      </c>
      <c r="Q22" s="19">
        <v>0.93100000000000005</v>
      </c>
      <c r="R22" s="19">
        <v>67.5</v>
      </c>
      <c r="S22" s="19">
        <v>12.18</v>
      </c>
      <c r="T22" s="19">
        <v>12.17</v>
      </c>
      <c r="U22" t="s">
        <v>38</v>
      </c>
      <c r="V22">
        <f t="shared" si="0"/>
        <v>190</v>
      </c>
      <c r="W22" s="17">
        <f t="shared" si="1"/>
        <v>210.22659084411467</v>
      </c>
      <c r="X22" s="17">
        <f t="shared" si="2"/>
        <v>60</v>
      </c>
      <c r="Y22">
        <f t="shared" si="3"/>
        <v>9.5</v>
      </c>
      <c r="Z22">
        <f t="shared" si="4"/>
        <v>20</v>
      </c>
      <c r="AA22">
        <f t="shared" ca="1" si="5"/>
        <v>0.53</v>
      </c>
      <c r="AB22">
        <f t="shared" si="6"/>
        <v>55</v>
      </c>
      <c r="AC22">
        <f t="shared" si="7"/>
        <v>641</v>
      </c>
      <c r="AD22">
        <f t="shared" si="8"/>
        <v>291</v>
      </c>
      <c r="AE22">
        <f t="shared" ca="1" si="9"/>
        <v>79</v>
      </c>
      <c r="AF22">
        <f t="shared" si="10"/>
        <v>987</v>
      </c>
      <c r="AG22">
        <f t="shared" ca="1" si="11"/>
        <v>1066</v>
      </c>
    </row>
    <row r="23" spans="1:33">
      <c r="A23" s="6">
        <v>25</v>
      </c>
      <c r="B23" s="6" t="s">
        <v>305</v>
      </c>
      <c r="C23" s="19" t="s">
        <v>69</v>
      </c>
      <c r="D23" s="19" t="s">
        <v>19</v>
      </c>
      <c r="E23" s="19" t="s">
        <v>20</v>
      </c>
      <c r="F23" s="79">
        <v>18</v>
      </c>
      <c r="G23" s="19" t="s">
        <v>94</v>
      </c>
      <c r="H23" s="19">
        <v>222</v>
      </c>
      <c r="I23" s="19">
        <v>2415</v>
      </c>
      <c r="J23" s="19">
        <v>191</v>
      </c>
      <c r="K23" s="19">
        <v>3.44</v>
      </c>
      <c r="L23" s="19">
        <v>128</v>
      </c>
      <c r="M23" s="19">
        <v>0</v>
      </c>
      <c r="N23" s="19">
        <v>0</v>
      </c>
      <c r="O23" s="19">
        <v>49</v>
      </c>
      <c r="P23" s="19">
        <v>0.67020000000000002</v>
      </c>
      <c r="Q23" s="19">
        <v>0.69190000000000007</v>
      </c>
      <c r="R23" s="19">
        <v>2.61</v>
      </c>
      <c r="S23" s="19">
        <v>11.95</v>
      </c>
      <c r="T23" s="19">
        <v>12.05</v>
      </c>
      <c r="U23" t="s">
        <v>95</v>
      </c>
      <c r="V23">
        <f t="shared" si="0"/>
        <v>220</v>
      </c>
      <c r="W23" s="17">
        <f t="shared" si="1"/>
        <v>35.266440413835944</v>
      </c>
      <c r="X23" s="17">
        <f t="shared" si="2"/>
        <v>14</v>
      </c>
      <c r="Y23">
        <f t="shared" si="3"/>
        <v>49</v>
      </c>
      <c r="Z23">
        <f t="shared" si="4"/>
        <v>20</v>
      </c>
      <c r="AA23">
        <f t="shared" ca="1" si="5"/>
        <v>0.64</v>
      </c>
      <c r="AB23">
        <f t="shared" si="6"/>
        <v>643</v>
      </c>
      <c r="AC23">
        <f t="shared" si="7"/>
        <v>130</v>
      </c>
      <c r="AD23">
        <f t="shared" si="8"/>
        <v>291</v>
      </c>
      <c r="AE23">
        <f t="shared" ca="1" si="9"/>
        <v>168</v>
      </c>
      <c r="AF23">
        <f t="shared" si="10"/>
        <v>1064</v>
      </c>
      <c r="AG23">
        <f t="shared" ca="1" si="11"/>
        <v>1232</v>
      </c>
    </row>
    <row r="24" spans="1:33">
      <c r="A24" s="6">
        <v>18</v>
      </c>
      <c r="B24" s="6" t="s">
        <v>304</v>
      </c>
      <c r="C24" s="19" t="s">
        <v>36</v>
      </c>
      <c r="D24" s="19" t="s">
        <v>19</v>
      </c>
      <c r="E24" s="19" t="s">
        <v>20</v>
      </c>
      <c r="F24" s="79">
        <v>18</v>
      </c>
      <c r="G24" s="19" t="s">
        <v>53</v>
      </c>
      <c r="H24" s="19">
        <v>194</v>
      </c>
      <c r="I24" s="19">
        <v>5177</v>
      </c>
      <c r="J24" s="19">
        <v>370</v>
      </c>
      <c r="K24" s="19">
        <v>7.64</v>
      </c>
      <c r="L24" s="19">
        <v>314</v>
      </c>
      <c r="M24" s="19">
        <v>0</v>
      </c>
      <c r="N24" s="19">
        <v>0</v>
      </c>
      <c r="O24" s="19">
        <v>13</v>
      </c>
      <c r="P24" s="19">
        <v>0.84860000000000002</v>
      </c>
      <c r="Q24" s="19">
        <v>0.92900000000000005</v>
      </c>
      <c r="R24" s="19">
        <v>24.15</v>
      </c>
      <c r="S24" s="19">
        <v>12.36</v>
      </c>
      <c r="T24" s="19">
        <v>12.36</v>
      </c>
      <c r="U24" t="s">
        <v>54</v>
      </c>
      <c r="V24">
        <f t="shared" si="0"/>
        <v>190</v>
      </c>
      <c r="W24" s="17">
        <f t="shared" si="1"/>
        <v>242.65243123608602</v>
      </c>
      <c r="X24" s="17">
        <f t="shared" si="2"/>
        <v>66</v>
      </c>
      <c r="Y24">
        <f t="shared" si="3"/>
        <v>14</v>
      </c>
      <c r="Z24">
        <f t="shared" si="4"/>
        <v>20</v>
      </c>
      <c r="AA24">
        <f t="shared" ca="1" si="5"/>
        <v>0.87</v>
      </c>
      <c r="AB24">
        <f t="shared" si="6"/>
        <v>99</v>
      </c>
      <c r="AC24">
        <f t="shared" si="7"/>
        <v>711</v>
      </c>
      <c r="AD24">
        <f t="shared" si="8"/>
        <v>291</v>
      </c>
      <c r="AE24">
        <f t="shared" ca="1" si="9"/>
        <v>573</v>
      </c>
      <c r="AF24">
        <f t="shared" si="10"/>
        <v>1101</v>
      </c>
      <c r="AG24">
        <f t="shared" ca="1" si="11"/>
        <v>1674</v>
      </c>
    </row>
    <row r="25" spans="1:33">
      <c r="A25" s="6">
        <v>23</v>
      </c>
      <c r="B25" s="6" t="s">
        <v>304</v>
      </c>
      <c r="C25" s="19" t="s">
        <v>87</v>
      </c>
      <c r="D25" s="19" t="s">
        <v>19</v>
      </c>
      <c r="E25" s="19" t="s">
        <v>20</v>
      </c>
      <c r="F25" s="79">
        <v>18</v>
      </c>
      <c r="G25" s="19" t="s">
        <v>88</v>
      </c>
      <c r="H25" s="19">
        <v>212</v>
      </c>
      <c r="I25" s="19">
        <v>3382</v>
      </c>
      <c r="J25" s="19">
        <v>249</v>
      </c>
      <c r="K25" s="19">
        <v>4.7</v>
      </c>
      <c r="L25" s="19">
        <v>196</v>
      </c>
      <c r="M25" s="19">
        <v>0</v>
      </c>
      <c r="N25" s="19">
        <v>0</v>
      </c>
      <c r="O25" s="19">
        <v>27</v>
      </c>
      <c r="P25" s="19">
        <v>0.78710000000000002</v>
      </c>
      <c r="Q25" s="19">
        <v>0.86340000000000006</v>
      </c>
      <c r="R25" s="19">
        <v>7.26</v>
      </c>
      <c r="S25" s="19">
        <v>12.93</v>
      </c>
      <c r="T25" s="19">
        <v>13.06</v>
      </c>
      <c r="U25" t="s">
        <v>89</v>
      </c>
      <c r="V25">
        <f t="shared" si="0"/>
        <v>210</v>
      </c>
      <c r="W25" s="17">
        <f t="shared" si="1"/>
        <v>117.21905786791365</v>
      </c>
      <c r="X25" s="17">
        <f t="shared" si="2"/>
        <v>44</v>
      </c>
      <c r="Y25">
        <f t="shared" si="3"/>
        <v>33</v>
      </c>
      <c r="Z25">
        <f t="shared" si="4"/>
        <v>20</v>
      </c>
      <c r="AA25">
        <f t="shared" ca="1" si="5"/>
        <v>0.87</v>
      </c>
      <c r="AB25">
        <f t="shared" si="6"/>
        <v>356</v>
      </c>
      <c r="AC25">
        <f t="shared" si="7"/>
        <v>456</v>
      </c>
      <c r="AD25">
        <f t="shared" si="8"/>
        <v>291</v>
      </c>
      <c r="AE25">
        <f t="shared" ca="1" si="9"/>
        <v>573</v>
      </c>
      <c r="AF25">
        <f t="shared" si="10"/>
        <v>1103</v>
      </c>
      <c r="AG25">
        <f t="shared" ca="1" si="11"/>
        <v>1676</v>
      </c>
    </row>
    <row r="26" spans="1:33">
      <c r="A26" s="6">
        <v>26</v>
      </c>
      <c r="B26" s="6" t="s">
        <v>310</v>
      </c>
      <c r="C26" s="19" t="s">
        <v>228</v>
      </c>
      <c r="D26" s="19" t="s">
        <v>19</v>
      </c>
      <c r="E26" s="19" t="s">
        <v>20</v>
      </c>
      <c r="F26" s="79">
        <v>18</v>
      </c>
      <c r="G26" s="19" t="s">
        <v>207</v>
      </c>
      <c r="H26" s="19">
        <v>222</v>
      </c>
      <c r="I26" s="19">
        <v>2614</v>
      </c>
      <c r="J26" s="19">
        <v>202</v>
      </c>
      <c r="K26" s="19">
        <v>3.64</v>
      </c>
      <c r="L26" s="19">
        <v>134</v>
      </c>
      <c r="M26" s="19">
        <v>0</v>
      </c>
      <c r="N26" s="19">
        <v>0</v>
      </c>
      <c r="O26" s="19">
        <v>46</v>
      </c>
      <c r="P26" s="19">
        <v>0.66339999999999999</v>
      </c>
      <c r="Q26" s="19">
        <v>0.71279999999999999</v>
      </c>
      <c r="R26" s="19">
        <v>2.91</v>
      </c>
      <c r="S26" s="19">
        <v>12.21</v>
      </c>
      <c r="T26" s="19">
        <v>12.44</v>
      </c>
      <c r="U26" t="s">
        <v>258</v>
      </c>
      <c r="V26">
        <f t="shared" si="0"/>
        <v>220</v>
      </c>
      <c r="W26" s="17">
        <f t="shared" si="1"/>
        <v>40.972429531690764</v>
      </c>
      <c r="X26" s="17">
        <f t="shared" si="2"/>
        <v>18</v>
      </c>
      <c r="Y26">
        <f t="shared" si="3"/>
        <v>49</v>
      </c>
      <c r="Z26">
        <f t="shared" si="4"/>
        <v>20</v>
      </c>
      <c r="AA26">
        <f t="shared" ca="1" si="5"/>
        <v>0.83</v>
      </c>
      <c r="AB26">
        <f t="shared" si="6"/>
        <v>643</v>
      </c>
      <c r="AC26">
        <f t="shared" si="7"/>
        <v>171</v>
      </c>
      <c r="AD26">
        <f t="shared" si="8"/>
        <v>291</v>
      </c>
      <c r="AE26">
        <f t="shared" ca="1" si="9"/>
        <v>475</v>
      </c>
      <c r="AF26">
        <f t="shared" si="10"/>
        <v>1105</v>
      </c>
      <c r="AG26">
        <f t="shared" ca="1" si="11"/>
        <v>1580</v>
      </c>
    </row>
    <row r="27" spans="1:33">
      <c r="A27" s="6">
        <v>14</v>
      </c>
      <c r="B27" s="61" t="s">
        <v>309</v>
      </c>
      <c r="C27" s="19" t="s">
        <v>36</v>
      </c>
      <c r="D27" s="19" t="s">
        <v>19</v>
      </c>
      <c r="E27" s="19" t="s">
        <v>20</v>
      </c>
      <c r="F27" s="79">
        <v>18</v>
      </c>
      <c r="G27" s="19" t="s">
        <v>45</v>
      </c>
      <c r="H27" s="19">
        <v>185</v>
      </c>
      <c r="I27" s="19">
        <v>6034</v>
      </c>
      <c r="J27" s="19">
        <v>385</v>
      </c>
      <c r="K27" s="19">
        <v>8.32</v>
      </c>
      <c r="L27" s="19">
        <v>374</v>
      </c>
      <c r="M27" s="19">
        <v>0</v>
      </c>
      <c r="N27" s="19">
        <v>0</v>
      </c>
      <c r="O27" s="19">
        <v>2</v>
      </c>
      <c r="P27" s="19">
        <v>0.97140000000000004</v>
      </c>
      <c r="Q27" s="19">
        <v>0.98940000000000006</v>
      </c>
      <c r="R27" s="19">
        <v>187</v>
      </c>
      <c r="S27" s="19">
        <v>12.3</v>
      </c>
      <c r="T27" s="19">
        <v>12.28</v>
      </c>
      <c r="U27" t="s">
        <v>46</v>
      </c>
      <c r="V27">
        <f t="shared" si="0"/>
        <v>180</v>
      </c>
      <c r="W27" s="17">
        <f t="shared" si="1"/>
        <v>360.3074759424872</v>
      </c>
      <c r="X27" s="17">
        <f t="shared" si="2"/>
        <v>79</v>
      </c>
      <c r="Y27">
        <f t="shared" si="3"/>
        <v>5</v>
      </c>
      <c r="Z27">
        <f t="shared" si="4"/>
        <v>20</v>
      </c>
      <c r="AA27">
        <f t="shared" ca="1" si="5"/>
        <v>0.61</v>
      </c>
      <c r="AB27">
        <f t="shared" si="6"/>
        <v>21</v>
      </c>
      <c r="AC27">
        <f t="shared" si="7"/>
        <v>867</v>
      </c>
      <c r="AD27">
        <f t="shared" si="8"/>
        <v>291</v>
      </c>
      <c r="AE27">
        <f t="shared" ca="1" si="9"/>
        <v>139</v>
      </c>
      <c r="AF27">
        <f t="shared" si="10"/>
        <v>1179</v>
      </c>
      <c r="AG27">
        <f t="shared" ca="1" si="11"/>
        <v>1318</v>
      </c>
    </row>
    <row r="28" spans="1:33">
      <c r="A28" s="6">
        <v>32</v>
      </c>
      <c r="B28" s="6" t="s">
        <v>305</v>
      </c>
      <c r="C28" s="19" t="s">
        <v>69</v>
      </c>
      <c r="D28" s="19" t="s">
        <v>19</v>
      </c>
      <c r="E28" s="19" t="s">
        <v>20</v>
      </c>
      <c r="F28" s="79">
        <v>19</v>
      </c>
      <c r="G28" s="19" t="s">
        <v>85</v>
      </c>
      <c r="H28" s="19">
        <v>210</v>
      </c>
      <c r="I28" s="19">
        <v>5324</v>
      </c>
      <c r="J28" s="19">
        <v>381</v>
      </c>
      <c r="K28" s="19">
        <v>7.26</v>
      </c>
      <c r="L28" s="19">
        <v>310</v>
      </c>
      <c r="M28" s="19">
        <v>0</v>
      </c>
      <c r="N28" s="19">
        <v>0</v>
      </c>
      <c r="O28" s="19">
        <v>54</v>
      </c>
      <c r="P28" s="19">
        <v>0.81359999999999999</v>
      </c>
      <c r="Q28" s="19">
        <v>0.83779999999999999</v>
      </c>
      <c r="R28" s="19">
        <v>5.74</v>
      </c>
      <c r="S28" s="19">
        <v>12.49</v>
      </c>
      <c r="T28" s="19">
        <v>12.55</v>
      </c>
      <c r="U28" t="s">
        <v>86</v>
      </c>
      <c r="V28">
        <f t="shared" si="0"/>
        <v>210</v>
      </c>
      <c r="W28" s="17">
        <f t="shared" si="1"/>
        <v>166.86026920597644</v>
      </c>
      <c r="X28" s="17">
        <f t="shared" si="2"/>
        <v>50</v>
      </c>
      <c r="Y28">
        <f t="shared" si="3"/>
        <v>29</v>
      </c>
      <c r="Z28">
        <f t="shared" si="4"/>
        <v>33</v>
      </c>
      <c r="AA28">
        <f t="shared" ca="1" si="5"/>
        <v>0.76</v>
      </c>
      <c r="AB28">
        <f t="shared" si="6"/>
        <v>293</v>
      </c>
      <c r="AC28">
        <f t="shared" si="7"/>
        <v>524</v>
      </c>
      <c r="AD28">
        <f t="shared" si="8"/>
        <v>587</v>
      </c>
      <c r="AE28">
        <f t="shared" ca="1" si="9"/>
        <v>334</v>
      </c>
      <c r="AF28">
        <f t="shared" si="10"/>
        <v>1404</v>
      </c>
      <c r="AG28">
        <f t="shared" ca="1" si="11"/>
        <v>1738</v>
      </c>
    </row>
    <row r="29" spans="1:33">
      <c r="A29" s="6">
        <v>34</v>
      </c>
      <c r="B29" s="6" t="s">
        <v>313</v>
      </c>
      <c r="C29" s="19" t="s">
        <v>228</v>
      </c>
      <c r="D29" s="19" t="s">
        <v>19</v>
      </c>
      <c r="E29" s="19" t="s">
        <v>20</v>
      </c>
      <c r="F29" s="79">
        <v>19</v>
      </c>
      <c r="G29" s="19" t="s">
        <v>203</v>
      </c>
      <c r="H29" s="19">
        <v>217</v>
      </c>
      <c r="I29" s="19">
        <v>4436</v>
      </c>
      <c r="J29" s="19">
        <v>341</v>
      </c>
      <c r="K29" s="19">
        <v>6.29</v>
      </c>
      <c r="L29" s="19">
        <v>247</v>
      </c>
      <c r="M29" s="19">
        <v>0</v>
      </c>
      <c r="N29" s="19">
        <v>0</v>
      </c>
      <c r="O29" s="19">
        <v>81</v>
      </c>
      <c r="P29" s="19">
        <v>0.72430000000000005</v>
      </c>
      <c r="Q29" s="19">
        <v>0.75080000000000002</v>
      </c>
      <c r="R29" s="19">
        <v>3.05</v>
      </c>
      <c r="S29" s="19">
        <v>11.9</v>
      </c>
      <c r="T29" s="19">
        <v>11.92</v>
      </c>
      <c r="U29" t="s">
        <v>229</v>
      </c>
      <c r="V29">
        <f t="shared" si="0"/>
        <v>210</v>
      </c>
      <c r="W29" s="17">
        <f t="shared" si="1"/>
        <v>90.57990838341874</v>
      </c>
      <c r="X29" s="17">
        <f t="shared" si="2"/>
        <v>36</v>
      </c>
      <c r="Y29">
        <f t="shared" si="3"/>
        <v>41</v>
      </c>
      <c r="Z29">
        <f t="shared" si="4"/>
        <v>33</v>
      </c>
      <c r="AA29">
        <f t="shared" ca="1" si="5"/>
        <v>0.66</v>
      </c>
      <c r="AB29">
        <f t="shared" si="6"/>
        <v>492</v>
      </c>
      <c r="AC29">
        <f t="shared" si="7"/>
        <v>365</v>
      </c>
      <c r="AD29">
        <f t="shared" si="8"/>
        <v>587</v>
      </c>
      <c r="AE29">
        <f t="shared" ca="1" si="9"/>
        <v>190</v>
      </c>
      <c r="AF29">
        <f t="shared" si="10"/>
        <v>1444</v>
      </c>
      <c r="AG29">
        <f t="shared" ca="1" si="11"/>
        <v>1634</v>
      </c>
    </row>
    <row r="30" spans="1:33">
      <c r="A30" s="6">
        <v>38</v>
      </c>
      <c r="B30" s="6" t="s">
        <v>305</v>
      </c>
      <c r="C30" s="19" t="s">
        <v>69</v>
      </c>
      <c r="D30" s="19" t="s">
        <v>19</v>
      </c>
      <c r="E30" s="19" t="s">
        <v>20</v>
      </c>
      <c r="F30" s="79">
        <v>19</v>
      </c>
      <c r="G30" s="19" t="s">
        <v>77</v>
      </c>
      <c r="H30" s="19">
        <v>230</v>
      </c>
      <c r="I30" s="19">
        <v>2741</v>
      </c>
      <c r="J30" s="19">
        <v>251</v>
      </c>
      <c r="K30" s="19">
        <v>4.37</v>
      </c>
      <c r="L30" s="19">
        <v>110</v>
      </c>
      <c r="M30" s="19">
        <v>0</v>
      </c>
      <c r="N30" s="19">
        <v>0</v>
      </c>
      <c r="O30" s="19">
        <v>93</v>
      </c>
      <c r="P30" s="19">
        <v>0.43820000000000003</v>
      </c>
      <c r="Q30" s="19">
        <v>0.54190000000000005</v>
      </c>
      <c r="R30" s="19">
        <v>1.18</v>
      </c>
      <c r="S30" s="19">
        <v>10.9</v>
      </c>
      <c r="T30" s="19">
        <v>12.14</v>
      </c>
      <c r="U30" t="s">
        <v>220</v>
      </c>
      <c r="V30">
        <f t="shared" si="0"/>
        <v>230</v>
      </c>
      <c r="W30" s="17">
        <f t="shared" si="1"/>
        <v>12.88575037019636</v>
      </c>
      <c r="X30" s="17">
        <f t="shared" si="2"/>
        <v>1</v>
      </c>
      <c r="Y30">
        <f t="shared" si="3"/>
        <v>60</v>
      </c>
      <c r="Z30">
        <f t="shared" si="4"/>
        <v>33</v>
      </c>
      <c r="AA30">
        <f t="shared" ca="1" si="5"/>
        <v>0.84</v>
      </c>
      <c r="AB30">
        <f t="shared" si="6"/>
        <v>871</v>
      </c>
      <c r="AC30">
        <f t="shared" si="7"/>
        <v>8</v>
      </c>
      <c r="AD30">
        <f t="shared" si="8"/>
        <v>587</v>
      </c>
      <c r="AE30">
        <f t="shared" ca="1" si="9"/>
        <v>498</v>
      </c>
      <c r="AF30">
        <f t="shared" si="10"/>
        <v>1466</v>
      </c>
      <c r="AG30">
        <f t="shared" ca="1" si="11"/>
        <v>1964</v>
      </c>
    </row>
    <row r="31" spans="1:33">
      <c r="A31" s="6">
        <v>39</v>
      </c>
      <c r="B31" s="6" t="s">
        <v>310</v>
      </c>
      <c r="C31" s="19" t="s">
        <v>66</v>
      </c>
      <c r="D31" s="19" t="s">
        <v>19</v>
      </c>
      <c r="E31" s="19" t="s">
        <v>20</v>
      </c>
      <c r="F31" s="79">
        <v>19</v>
      </c>
      <c r="G31" s="19" t="s">
        <v>80</v>
      </c>
      <c r="H31" s="19">
        <v>230</v>
      </c>
      <c r="I31" s="19">
        <v>2226</v>
      </c>
      <c r="J31" s="19">
        <v>200</v>
      </c>
      <c r="K31" s="19">
        <v>3.48</v>
      </c>
      <c r="L31" s="19">
        <v>113</v>
      </c>
      <c r="M31" s="19">
        <v>0</v>
      </c>
      <c r="N31" s="19">
        <v>0</v>
      </c>
      <c r="O31" s="19">
        <v>65</v>
      </c>
      <c r="P31" s="19">
        <v>0.56500000000000006</v>
      </c>
      <c r="Q31" s="19">
        <v>0.62780000000000002</v>
      </c>
      <c r="R31" s="19">
        <v>1.74</v>
      </c>
      <c r="S31" s="19">
        <v>11.05</v>
      </c>
      <c r="T31" s="19">
        <v>11.51</v>
      </c>
      <c r="U31" t="s">
        <v>83</v>
      </c>
      <c r="V31">
        <f t="shared" si="0"/>
        <v>230</v>
      </c>
      <c r="W31" s="17">
        <f t="shared" si="1"/>
        <v>22.154044986126582</v>
      </c>
      <c r="X31" s="17">
        <f t="shared" si="2"/>
        <v>4</v>
      </c>
      <c r="Y31">
        <f t="shared" si="3"/>
        <v>60</v>
      </c>
      <c r="Z31">
        <f t="shared" si="4"/>
        <v>33</v>
      </c>
      <c r="AA31">
        <f t="shared" ca="1" si="5"/>
        <v>0.69</v>
      </c>
      <c r="AB31">
        <f t="shared" si="6"/>
        <v>871</v>
      </c>
      <c r="AC31">
        <f t="shared" si="7"/>
        <v>33</v>
      </c>
      <c r="AD31">
        <f t="shared" si="8"/>
        <v>587</v>
      </c>
      <c r="AE31">
        <f t="shared" ca="1" si="9"/>
        <v>227</v>
      </c>
      <c r="AF31">
        <f t="shared" si="10"/>
        <v>1491</v>
      </c>
      <c r="AG31">
        <f t="shared" ca="1" si="11"/>
        <v>1718</v>
      </c>
    </row>
    <row r="32" spans="1:33">
      <c r="A32" s="6">
        <v>36</v>
      </c>
      <c r="B32" s="6" t="s">
        <v>305</v>
      </c>
      <c r="C32" s="19" t="s">
        <v>69</v>
      </c>
      <c r="D32" s="19" t="s">
        <v>19</v>
      </c>
      <c r="E32" s="19" t="s">
        <v>20</v>
      </c>
      <c r="F32" s="79">
        <v>19</v>
      </c>
      <c r="G32" s="19" t="s">
        <v>61</v>
      </c>
      <c r="H32" s="19">
        <v>224</v>
      </c>
      <c r="I32" s="19">
        <v>2926</v>
      </c>
      <c r="J32" s="19">
        <v>219</v>
      </c>
      <c r="K32" s="19">
        <v>3.91</v>
      </c>
      <c r="L32" s="19">
        <v>150</v>
      </c>
      <c r="M32" s="19">
        <v>0</v>
      </c>
      <c r="N32" s="19">
        <v>0</v>
      </c>
      <c r="O32" s="19">
        <v>56</v>
      </c>
      <c r="P32" s="19">
        <v>0.68490000000000006</v>
      </c>
      <c r="Q32" s="19">
        <v>0.71090000000000009</v>
      </c>
      <c r="R32" s="19">
        <v>2.68</v>
      </c>
      <c r="S32" s="19">
        <v>12.94</v>
      </c>
      <c r="T32" s="19">
        <v>12.93</v>
      </c>
      <c r="U32" t="s">
        <v>84</v>
      </c>
      <c r="V32">
        <f t="shared" si="0"/>
        <v>220</v>
      </c>
      <c r="W32" s="17">
        <f t="shared" si="1"/>
        <v>45.438193728646006</v>
      </c>
      <c r="X32" s="17">
        <f t="shared" si="2"/>
        <v>22</v>
      </c>
      <c r="Y32">
        <f t="shared" si="3"/>
        <v>52</v>
      </c>
      <c r="Z32">
        <f t="shared" si="4"/>
        <v>33</v>
      </c>
      <c r="AA32">
        <f t="shared" ca="1" si="5"/>
        <v>0.98</v>
      </c>
      <c r="AB32">
        <f t="shared" si="6"/>
        <v>703</v>
      </c>
      <c r="AC32">
        <f t="shared" si="7"/>
        <v>213</v>
      </c>
      <c r="AD32">
        <f t="shared" si="8"/>
        <v>587</v>
      </c>
      <c r="AE32">
        <f t="shared" ca="1" si="9"/>
        <v>923</v>
      </c>
      <c r="AF32">
        <f t="shared" si="10"/>
        <v>1503</v>
      </c>
      <c r="AG32">
        <f t="shared" ca="1" si="11"/>
        <v>2426</v>
      </c>
    </row>
    <row r="33" spans="1:33">
      <c r="A33" s="6">
        <v>35</v>
      </c>
      <c r="B33" s="6" t="s">
        <v>310</v>
      </c>
      <c r="C33" s="19" t="s">
        <v>211</v>
      </c>
      <c r="D33" s="19" t="s">
        <v>19</v>
      </c>
      <c r="E33" s="19" t="s">
        <v>20</v>
      </c>
      <c r="F33" s="79">
        <v>19</v>
      </c>
      <c r="G33" s="19" t="s">
        <v>239</v>
      </c>
      <c r="H33" s="19">
        <v>220</v>
      </c>
      <c r="I33" s="19">
        <v>3449</v>
      </c>
      <c r="J33" s="19">
        <v>273</v>
      </c>
      <c r="K33" s="19">
        <v>4.96</v>
      </c>
      <c r="L33" s="19">
        <v>188</v>
      </c>
      <c r="M33" s="19">
        <v>0</v>
      </c>
      <c r="N33" s="19">
        <v>0</v>
      </c>
      <c r="O33" s="19">
        <v>32</v>
      </c>
      <c r="P33" s="19">
        <v>0.68859999999999999</v>
      </c>
      <c r="Q33" s="19">
        <v>0.83930000000000005</v>
      </c>
      <c r="R33" s="19">
        <v>5.88</v>
      </c>
      <c r="S33" s="19">
        <v>12.07</v>
      </c>
      <c r="T33" s="19">
        <v>13.22</v>
      </c>
      <c r="U33" t="s">
        <v>240</v>
      </c>
      <c r="V33">
        <f t="shared" si="0"/>
        <v>220</v>
      </c>
      <c r="W33" s="17">
        <f t="shared" si="1"/>
        <v>101.82821483591701</v>
      </c>
      <c r="X33" s="17">
        <f t="shared" si="2"/>
        <v>39</v>
      </c>
      <c r="Y33">
        <f t="shared" si="3"/>
        <v>44</v>
      </c>
      <c r="Z33">
        <f t="shared" si="4"/>
        <v>33</v>
      </c>
      <c r="AA33">
        <f t="shared" ca="1" si="5"/>
        <v>0.81</v>
      </c>
      <c r="AB33">
        <f t="shared" si="6"/>
        <v>547</v>
      </c>
      <c r="AC33">
        <f t="shared" si="7"/>
        <v>399</v>
      </c>
      <c r="AD33">
        <f t="shared" si="8"/>
        <v>587</v>
      </c>
      <c r="AE33">
        <f t="shared" ca="1" si="9"/>
        <v>431</v>
      </c>
      <c r="AF33">
        <f t="shared" si="10"/>
        <v>1533</v>
      </c>
      <c r="AG33">
        <f t="shared" ca="1" si="11"/>
        <v>1964</v>
      </c>
    </row>
    <row r="34" spans="1:33">
      <c r="A34" s="6">
        <v>29</v>
      </c>
      <c r="B34" s="61" t="s">
        <v>309</v>
      </c>
      <c r="C34" s="19" t="s">
        <v>36</v>
      </c>
      <c r="D34" s="19" t="s">
        <v>19</v>
      </c>
      <c r="E34" s="19" t="s">
        <v>20</v>
      </c>
      <c r="F34" s="79">
        <v>19</v>
      </c>
      <c r="G34" s="19" t="s">
        <v>201</v>
      </c>
      <c r="H34" s="19">
        <v>200</v>
      </c>
      <c r="I34" s="19">
        <v>5842</v>
      </c>
      <c r="J34" s="19">
        <v>373</v>
      </c>
      <c r="K34" s="19">
        <v>7.46</v>
      </c>
      <c r="L34" s="19">
        <v>349</v>
      </c>
      <c r="M34" s="19">
        <v>0</v>
      </c>
      <c r="N34" s="19">
        <v>0</v>
      </c>
      <c r="O34" s="19">
        <v>0</v>
      </c>
      <c r="P34" s="19">
        <v>0.93570000000000009</v>
      </c>
      <c r="Q34" s="19">
        <v>0.98310000000000008</v>
      </c>
      <c r="R34" s="19">
        <v>0</v>
      </c>
      <c r="S34" s="19">
        <v>13.12</v>
      </c>
      <c r="T34" s="19">
        <v>13.26</v>
      </c>
      <c r="U34" t="s">
        <v>282</v>
      </c>
      <c r="V34">
        <f t="shared" ref="V34:V65" si="12">ROUNDDOWN(H34/10,0)*10</f>
        <v>200</v>
      </c>
      <c r="W34" s="17">
        <f t="shared" ref="W34:W65" si="13">(L34)*((Q34^3.5+0)/1)</f>
        <v>328.78906359945864</v>
      </c>
      <c r="X34" s="17">
        <f t="shared" ref="X34:X65" si="14">_xlfn.RANK.AVG(W34,W:W,1)</f>
        <v>75</v>
      </c>
      <c r="Y34">
        <f t="shared" ref="Y34:Y65" si="15">_xlfn.RANK.AVG(H34,H:H,1)</f>
        <v>18</v>
      </c>
      <c r="Z34">
        <f t="shared" ref="Z34:Z65" si="16">_xlfn.RANK.AVG(F34,F:F,1)</f>
        <v>33</v>
      </c>
      <c r="AA34">
        <f t="shared" ref="AA34:AA65" ca="1" si="17">RANDBETWEEN(50,100)/100</f>
        <v>0.9</v>
      </c>
      <c r="AB34">
        <f t="shared" ref="AB34:AB65" si="18">ROUNDUP((1600/(MAX(Y:Y))^1.5)*Y34^1.5,0)</f>
        <v>144</v>
      </c>
      <c r="AC34">
        <f t="shared" ref="AC34:AC65" si="19">ROUNDUP((1000/(MAX(X:X))^1.1)*X34^1.1,0)</f>
        <v>819</v>
      </c>
      <c r="AD34">
        <f t="shared" ref="AD34:AD65" si="20">ROUNDUP(3200*(($F34-16)/(MAX($F:$F)-16))^1.73,0)</f>
        <v>587</v>
      </c>
      <c r="AE34">
        <f t="shared" ref="AE34:AE65" ca="1" si="21">ROUNDUP((AA34^4)*1000,0)</f>
        <v>657</v>
      </c>
      <c r="AF34">
        <f t="shared" ref="AF34:AF65" si="22">SUM(AB34:AD34)</f>
        <v>1550</v>
      </c>
      <c r="AG34">
        <f t="shared" ref="AG34:AG65" ca="1" si="23">SUM(AB34:AE34)</f>
        <v>2207</v>
      </c>
    </row>
    <row r="35" spans="1:33">
      <c r="A35" s="6">
        <v>31</v>
      </c>
      <c r="B35" s="6" t="s">
        <v>305</v>
      </c>
      <c r="C35" s="19" t="s">
        <v>69</v>
      </c>
      <c r="D35" s="19" t="s">
        <v>19</v>
      </c>
      <c r="E35" s="19" t="s">
        <v>20</v>
      </c>
      <c r="F35" s="79">
        <v>19</v>
      </c>
      <c r="G35" s="19" t="s">
        <v>90</v>
      </c>
      <c r="H35" s="19">
        <v>204</v>
      </c>
      <c r="I35" s="19">
        <v>6011</v>
      </c>
      <c r="J35" s="19">
        <v>395</v>
      </c>
      <c r="K35" s="19">
        <v>7.75</v>
      </c>
      <c r="L35" s="19">
        <v>368</v>
      </c>
      <c r="M35" s="19">
        <v>0</v>
      </c>
      <c r="N35" s="19">
        <v>0</v>
      </c>
      <c r="O35" s="19">
        <v>16</v>
      </c>
      <c r="P35" s="19">
        <v>0.93160000000000009</v>
      </c>
      <c r="Q35" s="19">
        <v>0.95830000000000004</v>
      </c>
      <c r="R35" s="19">
        <v>23</v>
      </c>
      <c r="S35" s="19">
        <v>13.31</v>
      </c>
      <c r="T35" s="19">
        <v>13.3</v>
      </c>
      <c r="U35" t="s">
        <v>91</v>
      </c>
      <c r="V35">
        <f t="shared" si="12"/>
        <v>200</v>
      </c>
      <c r="W35" s="17">
        <f t="shared" si="13"/>
        <v>317.03194651692201</v>
      </c>
      <c r="X35" s="17">
        <f t="shared" si="14"/>
        <v>73</v>
      </c>
      <c r="Y35">
        <f t="shared" si="15"/>
        <v>21</v>
      </c>
      <c r="Z35">
        <f t="shared" si="16"/>
        <v>33</v>
      </c>
      <c r="AA35">
        <f t="shared" ca="1" si="17"/>
        <v>0.66</v>
      </c>
      <c r="AB35">
        <f t="shared" si="18"/>
        <v>181</v>
      </c>
      <c r="AC35">
        <f t="shared" si="19"/>
        <v>795</v>
      </c>
      <c r="AD35">
        <f t="shared" si="20"/>
        <v>587</v>
      </c>
      <c r="AE35">
        <f t="shared" ca="1" si="21"/>
        <v>190</v>
      </c>
      <c r="AF35">
        <f t="shared" si="22"/>
        <v>1563</v>
      </c>
      <c r="AG35">
        <f t="shared" ca="1" si="23"/>
        <v>1753</v>
      </c>
    </row>
    <row r="36" spans="1:33">
      <c r="A36" s="6">
        <v>27</v>
      </c>
      <c r="B36" s="6" t="s">
        <v>307</v>
      </c>
      <c r="C36" s="19" t="s">
        <v>66</v>
      </c>
      <c r="D36" s="19" t="s">
        <v>19</v>
      </c>
      <c r="E36" s="19" t="s">
        <v>20</v>
      </c>
      <c r="F36" s="79">
        <v>19</v>
      </c>
      <c r="G36" s="19" t="s">
        <v>92</v>
      </c>
      <c r="H36" s="19">
        <v>190</v>
      </c>
      <c r="I36" s="19">
        <v>7994</v>
      </c>
      <c r="J36" s="19">
        <v>518</v>
      </c>
      <c r="K36" s="19">
        <v>11.2</v>
      </c>
      <c r="L36" s="19">
        <v>488</v>
      </c>
      <c r="M36" s="19">
        <v>0</v>
      </c>
      <c r="N36" s="19">
        <v>0</v>
      </c>
      <c r="O36" s="19">
        <v>2</v>
      </c>
      <c r="P36" s="19">
        <v>0.94210000000000005</v>
      </c>
      <c r="Q36" s="19">
        <v>0.9819</v>
      </c>
      <c r="R36" s="19">
        <v>244</v>
      </c>
      <c r="S36" s="19">
        <v>12.48</v>
      </c>
      <c r="T36" s="19">
        <v>12.55</v>
      </c>
      <c r="U36" t="s">
        <v>93</v>
      </c>
      <c r="V36">
        <f t="shared" si="12"/>
        <v>190</v>
      </c>
      <c r="W36" s="17">
        <f t="shared" si="13"/>
        <v>457.7783316991443</v>
      </c>
      <c r="X36" s="17">
        <f t="shared" si="14"/>
        <v>85</v>
      </c>
      <c r="Y36">
        <f t="shared" si="15"/>
        <v>9.5</v>
      </c>
      <c r="Z36">
        <f t="shared" si="16"/>
        <v>33</v>
      </c>
      <c r="AA36">
        <f t="shared" ca="1" si="17"/>
        <v>0.64</v>
      </c>
      <c r="AB36">
        <f t="shared" si="18"/>
        <v>55</v>
      </c>
      <c r="AC36">
        <f t="shared" si="19"/>
        <v>940</v>
      </c>
      <c r="AD36">
        <f t="shared" si="20"/>
        <v>587</v>
      </c>
      <c r="AE36">
        <f t="shared" ca="1" si="21"/>
        <v>168</v>
      </c>
      <c r="AF36">
        <f t="shared" si="22"/>
        <v>1582</v>
      </c>
      <c r="AG36">
        <f t="shared" ca="1" si="23"/>
        <v>1750</v>
      </c>
    </row>
    <row r="37" spans="1:33">
      <c r="A37" s="6">
        <v>30</v>
      </c>
      <c r="B37" s="6" t="s">
        <v>314</v>
      </c>
      <c r="C37" s="19" t="s">
        <v>283</v>
      </c>
      <c r="D37" s="19" t="s">
        <v>19</v>
      </c>
      <c r="E37" s="19" t="s">
        <v>20</v>
      </c>
      <c r="F37" s="79">
        <v>19</v>
      </c>
      <c r="G37" s="19" t="s">
        <v>148</v>
      </c>
      <c r="H37" s="19">
        <v>200</v>
      </c>
      <c r="I37" s="19">
        <v>7370</v>
      </c>
      <c r="J37" s="19">
        <v>500</v>
      </c>
      <c r="K37" s="19">
        <v>10</v>
      </c>
      <c r="L37" s="19">
        <v>447</v>
      </c>
      <c r="M37" s="19">
        <v>0</v>
      </c>
      <c r="N37" s="19">
        <v>0</v>
      </c>
      <c r="O37" s="19">
        <v>30</v>
      </c>
      <c r="P37" s="19">
        <v>0.89400000000000002</v>
      </c>
      <c r="Q37" s="19">
        <v>0.93320000000000003</v>
      </c>
      <c r="R37" s="19">
        <v>14.9</v>
      </c>
      <c r="S37" s="19">
        <v>12.61</v>
      </c>
      <c r="T37" s="19">
        <v>12.72</v>
      </c>
      <c r="U37" t="s">
        <v>236</v>
      </c>
      <c r="V37">
        <f t="shared" si="12"/>
        <v>200</v>
      </c>
      <c r="W37" s="17">
        <f t="shared" si="13"/>
        <v>350.92885432559893</v>
      </c>
      <c r="X37" s="17">
        <f t="shared" si="14"/>
        <v>78</v>
      </c>
      <c r="Y37">
        <f t="shared" si="15"/>
        <v>18</v>
      </c>
      <c r="Z37">
        <f t="shared" si="16"/>
        <v>33</v>
      </c>
      <c r="AA37">
        <f t="shared" ca="1" si="17"/>
        <v>0.91</v>
      </c>
      <c r="AB37">
        <f t="shared" si="18"/>
        <v>144</v>
      </c>
      <c r="AC37">
        <f t="shared" si="19"/>
        <v>855</v>
      </c>
      <c r="AD37">
        <f t="shared" si="20"/>
        <v>587</v>
      </c>
      <c r="AE37">
        <f t="shared" ca="1" si="21"/>
        <v>686</v>
      </c>
      <c r="AF37">
        <f t="shared" si="22"/>
        <v>1586</v>
      </c>
      <c r="AG37">
        <f t="shared" ca="1" si="23"/>
        <v>2272</v>
      </c>
    </row>
    <row r="38" spans="1:33">
      <c r="A38" s="6">
        <v>33</v>
      </c>
      <c r="B38" s="6" t="s">
        <v>308</v>
      </c>
      <c r="C38" s="19" t="s">
        <v>211</v>
      </c>
      <c r="D38" s="19" t="s">
        <v>19</v>
      </c>
      <c r="E38" s="19" t="s">
        <v>20</v>
      </c>
      <c r="F38" s="79">
        <v>19</v>
      </c>
      <c r="G38" s="19" t="s">
        <v>204</v>
      </c>
      <c r="H38" s="19">
        <v>215</v>
      </c>
      <c r="I38" s="19">
        <v>5216</v>
      </c>
      <c r="J38" s="19">
        <v>372</v>
      </c>
      <c r="K38" s="19">
        <v>6.92</v>
      </c>
      <c r="L38" s="19">
        <v>301</v>
      </c>
      <c r="M38" s="19">
        <v>0</v>
      </c>
      <c r="N38" s="19">
        <v>0</v>
      </c>
      <c r="O38" s="19">
        <v>22</v>
      </c>
      <c r="P38" s="19">
        <v>0.80910000000000004</v>
      </c>
      <c r="Q38" s="19">
        <v>0.875</v>
      </c>
      <c r="R38" s="19">
        <v>13.68</v>
      </c>
      <c r="S38" s="19">
        <v>12.98</v>
      </c>
      <c r="T38" s="19">
        <v>13.39</v>
      </c>
      <c r="U38" t="s">
        <v>251</v>
      </c>
      <c r="V38">
        <f t="shared" si="12"/>
        <v>210</v>
      </c>
      <c r="W38" s="17">
        <f t="shared" si="13"/>
        <v>188.62301444467872</v>
      </c>
      <c r="X38" s="17">
        <f t="shared" si="14"/>
        <v>56</v>
      </c>
      <c r="Y38">
        <f t="shared" si="15"/>
        <v>38.5</v>
      </c>
      <c r="Z38">
        <f t="shared" si="16"/>
        <v>33</v>
      </c>
      <c r="AA38">
        <f t="shared" ca="1" si="17"/>
        <v>0.89</v>
      </c>
      <c r="AB38">
        <f t="shared" si="18"/>
        <v>448</v>
      </c>
      <c r="AC38">
        <f t="shared" si="19"/>
        <v>594</v>
      </c>
      <c r="AD38">
        <f t="shared" si="20"/>
        <v>587</v>
      </c>
      <c r="AE38">
        <f t="shared" ca="1" si="21"/>
        <v>628</v>
      </c>
      <c r="AF38">
        <f t="shared" si="22"/>
        <v>1629</v>
      </c>
      <c r="AG38">
        <f t="shared" ca="1" si="23"/>
        <v>2257</v>
      </c>
    </row>
    <row r="39" spans="1:33">
      <c r="A39" s="6">
        <v>28</v>
      </c>
      <c r="B39" s="61" t="s">
        <v>309</v>
      </c>
      <c r="C39" s="19" t="s">
        <v>36</v>
      </c>
      <c r="D39" s="19" t="s">
        <v>19</v>
      </c>
      <c r="E39" s="19" t="s">
        <v>20</v>
      </c>
      <c r="F39" s="79">
        <v>19</v>
      </c>
      <c r="G39" s="19" t="s">
        <v>39</v>
      </c>
      <c r="H39" s="19">
        <v>193</v>
      </c>
      <c r="I39" s="19">
        <v>10060</v>
      </c>
      <c r="J39" s="19">
        <v>641</v>
      </c>
      <c r="K39" s="19">
        <v>13.28</v>
      </c>
      <c r="L39" s="19">
        <v>626</v>
      </c>
      <c r="M39" s="19">
        <v>0</v>
      </c>
      <c r="N39" s="19">
        <v>0</v>
      </c>
      <c r="O39" s="19">
        <v>5</v>
      </c>
      <c r="P39" s="19">
        <v>0.97660000000000002</v>
      </c>
      <c r="Q39" s="19">
        <v>0.98580000000000001</v>
      </c>
      <c r="R39" s="19">
        <v>125.2</v>
      </c>
      <c r="S39" s="19">
        <v>12.74</v>
      </c>
      <c r="T39" s="19">
        <v>12.72</v>
      </c>
      <c r="U39" t="s">
        <v>40</v>
      </c>
      <c r="V39">
        <f t="shared" si="12"/>
        <v>190</v>
      </c>
      <c r="W39" s="17">
        <f t="shared" si="13"/>
        <v>595.43612760453709</v>
      </c>
      <c r="X39" s="17">
        <f t="shared" si="14"/>
        <v>88</v>
      </c>
      <c r="Y39">
        <f t="shared" si="15"/>
        <v>13</v>
      </c>
      <c r="Z39">
        <f t="shared" si="16"/>
        <v>33</v>
      </c>
      <c r="AA39">
        <f t="shared" ca="1" si="17"/>
        <v>0.98</v>
      </c>
      <c r="AB39">
        <f t="shared" si="18"/>
        <v>88</v>
      </c>
      <c r="AC39">
        <f t="shared" si="19"/>
        <v>976</v>
      </c>
      <c r="AD39">
        <f t="shared" si="20"/>
        <v>587</v>
      </c>
      <c r="AE39">
        <f t="shared" ca="1" si="21"/>
        <v>923</v>
      </c>
      <c r="AF39">
        <f t="shared" si="22"/>
        <v>1651</v>
      </c>
      <c r="AG39">
        <f t="shared" ca="1" si="23"/>
        <v>2574</v>
      </c>
    </row>
    <row r="40" spans="1:33">
      <c r="A40" s="6">
        <v>37</v>
      </c>
      <c r="B40" s="6" t="s">
        <v>311</v>
      </c>
      <c r="C40" s="19" t="s">
        <v>228</v>
      </c>
      <c r="D40" s="19" t="s">
        <v>19</v>
      </c>
      <c r="E40" s="19" t="s">
        <v>20</v>
      </c>
      <c r="F40" s="79">
        <v>19</v>
      </c>
      <c r="G40" s="19" t="s">
        <v>206</v>
      </c>
      <c r="H40" s="19">
        <v>225</v>
      </c>
      <c r="I40" s="19">
        <v>2716</v>
      </c>
      <c r="J40" s="19">
        <v>211</v>
      </c>
      <c r="K40" s="19">
        <v>3.75</v>
      </c>
      <c r="L40" s="19">
        <v>160</v>
      </c>
      <c r="M40" s="19">
        <v>0</v>
      </c>
      <c r="N40" s="19">
        <v>0</v>
      </c>
      <c r="O40" s="19">
        <v>28</v>
      </c>
      <c r="P40" s="19">
        <v>0.75830000000000009</v>
      </c>
      <c r="Q40" s="19">
        <v>0.83330000000000004</v>
      </c>
      <c r="R40" s="19">
        <v>5.71</v>
      </c>
      <c r="S40" s="19">
        <v>12.67</v>
      </c>
      <c r="T40" s="19">
        <v>13.1</v>
      </c>
      <c r="U40" t="s">
        <v>246</v>
      </c>
      <c r="V40">
        <f t="shared" si="12"/>
        <v>220</v>
      </c>
      <c r="W40" s="17">
        <f t="shared" si="13"/>
        <v>84.513253114366776</v>
      </c>
      <c r="X40" s="17">
        <f t="shared" si="14"/>
        <v>35</v>
      </c>
      <c r="Y40">
        <f t="shared" si="15"/>
        <v>53.5</v>
      </c>
      <c r="Z40">
        <f t="shared" si="16"/>
        <v>33</v>
      </c>
      <c r="AA40">
        <f t="shared" ca="1" si="17"/>
        <v>0.85</v>
      </c>
      <c r="AB40">
        <f t="shared" si="18"/>
        <v>734</v>
      </c>
      <c r="AC40">
        <f t="shared" si="19"/>
        <v>354</v>
      </c>
      <c r="AD40">
        <f t="shared" si="20"/>
        <v>587</v>
      </c>
      <c r="AE40">
        <f t="shared" ca="1" si="21"/>
        <v>523</v>
      </c>
      <c r="AF40">
        <f t="shared" si="22"/>
        <v>1675</v>
      </c>
      <c r="AG40">
        <f t="shared" ca="1" si="23"/>
        <v>2198</v>
      </c>
    </row>
    <row r="41" spans="1:33">
      <c r="A41" s="6">
        <v>42</v>
      </c>
      <c r="B41" s="6" t="s">
        <v>304</v>
      </c>
      <c r="C41" s="19" t="s">
        <v>66</v>
      </c>
      <c r="D41" s="19" t="s">
        <v>19</v>
      </c>
      <c r="E41" s="19" t="s">
        <v>20</v>
      </c>
      <c r="F41" s="79">
        <v>20</v>
      </c>
      <c r="G41" s="19" t="s">
        <v>81</v>
      </c>
      <c r="H41" s="19">
        <v>210</v>
      </c>
      <c r="I41" s="19">
        <v>6862</v>
      </c>
      <c r="J41" s="19">
        <v>502</v>
      </c>
      <c r="K41" s="19">
        <v>9.5500000000000007</v>
      </c>
      <c r="L41" s="19">
        <v>405</v>
      </c>
      <c r="M41" s="19">
        <v>0</v>
      </c>
      <c r="N41" s="19">
        <v>0</v>
      </c>
      <c r="O41" s="19">
        <v>77</v>
      </c>
      <c r="P41" s="19">
        <v>0.80680000000000007</v>
      </c>
      <c r="Q41" s="19">
        <v>0.83679999999999999</v>
      </c>
      <c r="R41" s="19">
        <v>5.26</v>
      </c>
      <c r="S41" s="19">
        <v>12.04</v>
      </c>
      <c r="T41" s="19">
        <v>12.27</v>
      </c>
      <c r="U41" t="s">
        <v>82</v>
      </c>
      <c r="V41">
        <f t="shared" si="12"/>
        <v>210</v>
      </c>
      <c r="W41" s="17">
        <f t="shared" si="13"/>
        <v>217.08552867711865</v>
      </c>
      <c r="X41" s="17">
        <f t="shared" si="14"/>
        <v>61</v>
      </c>
      <c r="Y41">
        <f t="shared" si="15"/>
        <v>29</v>
      </c>
      <c r="Z41">
        <f t="shared" si="16"/>
        <v>46</v>
      </c>
      <c r="AA41">
        <f t="shared" ca="1" si="17"/>
        <v>0.71</v>
      </c>
      <c r="AB41">
        <f t="shared" si="18"/>
        <v>293</v>
      </c>
      <c r="AC41">
        <f t="shared" si="19"/>
        <v>652</v>
      </c>
      <c r="AD41">
        <f t="shared" si="20"/>
        <v>965</v>
      </c>
      <c r="AE41">
        <f t="shared" ca="1" si="21"/>
        <v>255</v>
      </c>
      <c r="AF41">
        <f t="shared" si="22"/>
        <v>1910</v>
      </c>
      <c r="AG41">
        <f t="shared" ca="1" si="23"/>
        <v>2165</v>
      </c>
    </row>
    <row r="42" spans="1:33">
      <c r="A42" s="6">
        <v>50</v>
      </c>
      <c r="B42" s="6" t="s">
        <v>305</v>
      </c>
      <c r="C42" s="19" t="s">
        <v>69</v>
      </c>
      <c r="D42" s="19" t="s">
        <v>19</v>
      </c>
      <c r="E42" s="19" t="s">
        <v>20</v>
      </c>
      <c r="F42" s="79">
        <v>20</v>
      </c>
      <c r="G42" s="19" t="s">
        <v>78</v>
      </c>
      <c r="H42" s="19">
        <v>234</v>
      </c>
      <c r="I42" s="19">
        <v>3204</v>
      </c>
      <c r="J42" s="19">
        <v>278</v>
      </c>
      <c r="K42" s="19">
        <v>4.76</v>
      </c>
      <c r="L42" s="19">
        <v>142</v>
      </c>
      <c r="M42" s="19">
        <v>0</v>
      </c>
      <c r="N42" s="19">
        <v>0</v>
      </c>
      <c r="O42" s="19">
        <v>77</v>
      </c>
      <c r="P42" s="19">
        <v>0.51080000000000003</v>
      </c>
      <c r="Q42" s="19">
        <v>0.59660000000000002</v>
      </c>
      <c r="R42" s="19">
        <v>1.84</v>
      </c>
      <c r="S42" s="19">
        <v>11.92</v>
      </c>
      <c r="T42" s="19">
        <v>12.68</v>
      </c>
      <c r="U42" t="s">
        <v>79</v>
      </c>
      <c r="V42">
        <f t="shared" si="12"/>
        <v>230</v>
      </c>
      <c r="W42" s="17">
        <f t="shared" si="13"/>
        <v>23.290548475472992</v>
      </c>
      <c r="X42" s="17">
        <f t="shared" si="14"/>
        <v>6</v>
      </c>
      <c r="Y42">
        <f t="shared" si="15"/>
        <v>65</v>
      </c>
      <c r="Z42">
        <f t="shared" si="16"/>
        <v>46</v>
      </c>
      <c r="AA42">
        <f t="shared" ca="1" si="17"/>
        <v>0.87</v>
      </c>
      <c r="AB42">
        <f t="shared" si="18"/>
        <v>983</v>
      </c>
      <c r="AC42">
        <f t="shared" si="19"/>
        <v>51</v>
      </c>
      <c r="AD42">
        <f t="shared" si="20"/>
        <v>965</v>
      </c>
      <c r="AE42">
        <f t="shared" ca="1" si="21"/>
        <v>573</v>
      </c>
      <c r="AF42">
        <f t="shared" si="22"/>
        <v>1999</v>
      </c>
      <c r="AG42">
        <f t="shared" ca="1" si="23"/>
        <v>2572</v>
      </c>
    </row>
    <row r="43" spans="1:33">
      <c r="A43" s="6">
        <v>43</v>
      </c>
      <c r="B43" s="6" t="s">
        <v>315</v>
      </c>
      <c r="C43" s="19" t="s">
        <v>283</v>
      </c>
      <c r="D43" s="19" t="s">
        <v>19</v>
      </c>
      <c r="E43" s="19" t="s">
        <v>20</v>
      </c>
      <c r="F43" s="79">
        <v>20</v>
      </c>
      <c r="G43" s="19" t="s">
        <v>149</v>
      </c>
      <c r="H43" s="19">
        <v>210</v>
      </c>
      <c r="I43" s="19">
        <v>7704</v>
      </c>
      <c r="J43" s="19">
        <v>532</v>
      </c>
      <c r="K43" s="19">
        <v>10.130000000000001</v>
      </c>
      <c r="L43" s="19">
        <v>459</v>
      </c>
      <c r="M43" s="19">
        <v>0</v>
      </c>
      <c r="N43" s="19">
        <v>0</v>
      </c>
      <c r="O43" s="19">
        <v>53</v>
      </c>
      <c r="P43" s="19">
        <v>0.86280000000000001</v>
      </c>
      <c r="Q43" s="19">
        <v>0.88780000000000003</v>
      </c>
      <c r="R43" s="19">
        <v>8.66</v>
      </c>
      <c r="S43" s="19">
        <v>12.72</v>
      </c>
      <c r="T43" s="19">
        <v>12.92</v>
      </c>
      <c r="U43" t="s">
        <v>237</v>
      </c>
      <c r="V43">
        <f t="shared" si="12"/>
        <v>210</v>
      </c>
      <c r="W43" s="17">
        <f t="shared" si="13"/>
        <v>302.63257835890403</v>
      </c>
      <c r="X43" s="17">
        <f t="shared" si="14"/>
        <v>70</v>
      </c>
      <c r="Y43">
        <f t="shared" si="15"/>
        <v>29</v>
      </c>
      <c r="Z43">
        <f t="shared" si="16"/>
        <v>46</v>
      </c>
      <c r="AA43">
        <f t="shared" ca="1" si="17"/>
        <v>0.98</v>
      </c>
      <c r="AB43">
        <f t="shared" si="18"/>
        <v>293</v>
      </c>
      <c r="AC43">
        <f t="shared" si="19"/>
        <v>759</v>
      </c>
      <c r="AD43">
        <f t="shared" si="20"/>
        <v>965</v>
      </c>
      <c r="AE43">
        <f t="shared" ca="1" si="21"/>
        <v>923</v>
      </c>
      <c r="AF43">
        <f t="shared" si="22"/>
        <v>2017</v>
      </c>
      <c r="AG43">
        <f t="shared" ca="1" si="23"/>
        <v>2940</v>
      </c>
    </row>
    <row r="44" spans="1:33">
      <c r="A44" s="6">
        <v>41</v>
      </c>
      <c r="B44" s="6" t="s">
        <v>305</v>
      </c>
      <c r="C44" s="19" t="s">
        <v>69</v>
      </c>
      <c r="D44" s="19" t="s">
        <v>19</v>
      </c>
      <c r="E44" s="19" t="s">
        <v>20</v>
      </c>
      <c r="F44" s="79">
        <v>20</v>
      </c>
      <c r="G44" s="19" t="s">
        <v>194</v>
      </c>
      <c r="H44" s="19">
        <v>208</v>
      </c>
      <c r="I44" s="19">
        <v>5232</v>
      </c>
      <c r="J44" s="19">
        <v>330</v>
      </c>
      <c r="K44" s="19">
        <v>6.35</v>
      </c>
      <c r="L44" s="19">
        <v>326</v>
      </c>
      <c r="M44" s="19">
        <v>0</v>
      </c>
      <c r="N44" s="19">
        <v>0</v>
      </c>
      <c r="O44" s="19">
        <v>0</v>
      </c>
      <c r="P44" s="19">
        <v>0.9879</v>
      </c>
      <c r="Q44" s="19">
        <v>0.99390000000000001</v>
      </c>
      <c r="R44" s="19">
        <v>0</v>
      </c>
      <c r="S44" s="19">
        <v>13.87</v>
      </c>
      <c r="T44" s="19">
        <v>13.82</v>
      </c>
      <c r="U44" t="s">
        <v>244</v>
      </c>
      <c r="V44">
        <f t="shared" si="12"/>
        <v>200</v>
      </c>
      <c r="W44" s="17">
        <f t="shared" si="13"/>
        <v>319.09280902017247</v>
      </c>
      <c r="X44" s="17">
        <f t="shared" si="14"/>
        <v>74</v>
      </c>
      <c r="Y44">
        <f t="shared" si="15"/>
        <v>26</v>
      </c>
      <c r="Z44">
        <f t="shared" si="16"/>
        <v>46</v>
      </c>
      <c r="AA44">
        <f t="shared" ca="1" si="17"/>
        <v>0.66</v>
      </c>
      <c r="AB44">
        <f t="shared" si="18"/>
        <v>249</v>
      </c>
      <c r="AC44">
        <f t="shared" si="19"/>
        <v>807</v>
      </c>
      <c r="AD44">
        <f t="shared" si="20"/>
        <v>965</v>
      </c>
      <c r="AE44">
        <f t="shared" ca="1" si="21"/>
        <v>190</v>
      </c>
      <c r="AF44">
        <f t="shared" si="22"/>
        <v>2021</v>
      </c>
      <c r="AG44">
        <f t="shared" ca="1" si="23"/>
        <v>2211</v>
      </c>
    </row>
    <row r="45" spans="1:33">
      <c r="A45" s="6">
        <v>46</v>
      </c>
      <c r="B45" s="6" t="s">
        <v>304</v>
      </c>
      <c r="C45" s="19" t="s">
        <v>36</v>
      </c>
      <c r="D45" s="19" t="s">
        <v>19</v>
      </c>
      <c r="E45" s="19" t="s">
        <v>20</v>
      </c>
      <c r="F45" s="79">
        <v>20</v>
      </c>
      <c r="G45" s="19" t="s">
        <v>51</v>
      </c>
      <c r="H45" s="17">
        <v>222</v>
      </c>
      <c r="I45" s="17">
        <v>4414</v>
      </c>
      <c r="J45" s="17">
        <v>362</v>
      </c>
      <c r="K45" s="17">
        <v>6.52</v>
      </c>
      <c r="L45" s="17">
        <v>250</v>
      </c>
      <c r="M45" s="17">
        <v>0</v>
      </c>
      <c r="N45" s="17">
        <v>0</v>
      </c>
      <c r="O45" s="17">
        <v>59</v>
      </c>
      <c r="P45" s="17">
        <v>0.69059999999999999</v>
      </c>
      <c r="Q45" s="17">
        <v>0.78370000000000006</v>
      </c>
      <c r="R45" s="17">
        <v>4.24</v>
      </c>
      <c r="S45" s="17">
        <v>11.87</v>
      </c>
      <c r="T45" s="17">
        <v>12.51</v>
      </c>
      <c r="U45" t="s">
        <v>52</v>
      </c>
      <c r="V45">
        <f t="shared" si="12"/>
        <v>220</v>
      </c>
      <c r="W45" s="17">
        <f t="shared" si="13"/>
        <v>106.5281714290456</v>
      </c>
      <c r="X45" s="17">
        <f t="shared" si="14"/>
        <v>42</v>
      </c>
      <c r="Y45">
        <f t="shared" si="15"/>
        <v>49</v>
      </c>
      <c r="Z45">
        <f t="shared" si="16"/>
        <v>46</v>
      </c>
      <c r="AA45">
        <f t="shared" ca="1" si="17"/>
        <v>0.51</v>
      </c>
      <c r="AB45">
        <f t="shared" si="18"/>
        <v>643</v>
      </c>
      <c r="AC45">
        <f t="shared" si="19"/>
        <v>433</v>
      </c>
      <c r="AD45">
        <f t="shared" si="20"/>
        <v>965</v>
      </c>
      <c r="AE45">
        <f t="shared" ca="1" si="21"/>
        <v>68</v>
      </c>
      <c r="AF45">
        <f t="shared" si="22"/>
        <v>2041</v>
      </c>
      <c r="AG45">
        <f t="shared" ca="1" si="23"/>
        <v>2109</v>
      </c>
    </row>
    <row r="46" spans="1:33">
      <c r="A46" s="6">
        <v>47</v>
      </c>
      <c r="B46" s="6" t="s">
        <v>307</v>
      </c>
      <c r="C46" s="19" t="s">
        <v>228</v>
      </c>
      <c r="D46" s="19" t="s">
        <v>19</v>
      </c>
      <c r="E46" s="19" t="s">
        <v>20</v>
      </c>
      <c r="F46" s="79">
        <v>20</v>
      </c>
      <c r="G46" s="19" t="s">
        <v>96</v>
      </c>
      <c r="H46" s="19">
        <v>222</v>
      </c>
      <c r="I46" s="19">
        <v>4342</v>
      </c>
      <c r="J46" s="19">
        <v>314</v>
      </c>
      <c r="K46" s="19">
        <v>5.66</v>
      </c>
      <c r="L46" s="19">
        <v>243</v>
      </c>
      <c r="M46" s="19">
        <v>0</v>
      </c>
      <c r="N46" s="19">
        <v>0</v>
      </c>
      <c r="O46" s="19">
        <v>55</v>
      </c>
      <c r="P46" s="19">
        <v>0.77390000000000003</v>
      </c>
      <c r="Q46" s="19">
        <v>0.81</v>
      </c>
      <c r="R46" s="19">
        <v>4.42</v>
      </c>
      <c r="S46" s="19">
        <v>12.91</v>
      </c>
      <c r="T46" s="19">
        <v>13.07</v>
      </c>
      <c r="U46" t="s">
        <v>277</v>
      </c>
      <c r="V46">
        <f t="shared" si="12"/>
        <v>220</v>
      </c>
      <c r="W46" s="17">
        <f t="shared" si="13"/>
        <v>116.22614670000002</v>
      </c>
      <c r="X46" s="17">
        <f t="shared" si="14"/>
        <v>43</v>
      </c>
      <c r="Y46">
        <f t="shared" si="15"/>
        <v>49</v>
      </c>
      <c r="Z46">
        <f t="shared" si="16"/>
        <v>46</v>
      </c>
      <c r="AA46">
        <f t="shared" ca="1" si="17"/>
        <v>0.52</v>
      </c>
      <c r="AB46">
        <f t="shared" si="18"/>
        <v>643</v>
      </c>
      <c r="AC46">
        <f t="shared" si="19"/>
        <v>444</v>
      </c>
      <c r="AD46">
        <f t="shared" si="20"/>
        <v>965</v>
      </c>
      <c r="AE46">
        <f t="shared" ca="1" si="21"/>
        <v>74</v>
      </c>
      <c r="AF46">
        <f t="shared" si="22"/>
        <v>2052</v>
      </c>
      <c r="AG46">
        <f t="shared" ca="1" si="23"/>
        <v>2126</v>
      </c>
    </row>
    <row r="47" spans="1:33">
      <c r="A47" s="6">
        <v>49</v>
      </c>
      <c r="B47" s="6" t="s">
        <v>308</v>
      </c>
      <c r="C47" s="19" t="s">
        <v>216</v>
      </c>
      <c r="D47" s="19" t="s">
        <v>19</v>
      </c>
      <c r="E47" s="19" t="s">
        <v>20</v>
      </c>
      <c r="F47" s="79">
        <v>20</v>
      </c>
      <c r="G47" s="19" t="s">
        <v>224</v>
      </c>
      <c r="H47" s="19">
        <v>230</v>
      </c>
      <c r="I47" s="19">
        <v>4364</v>
      </c>
      <c r="J47" s="19">
        <v>356</v>
      </c>
      <c r="K47" s="19">
        <v>6.19</v>
      </c>
      <c r="L47" s="19">
        <v>215</v>
      </c>
      <c r="M47" s="19">
        <v>0</v>
      </c>
      <c r="N47" s="19">
        <v>0</v>
      </c>
      <c r="O47" s="19">
        <v>108</v>
      </c>
      <c r="P47" s="19">
        <v>0.60389999999999999</v>
      </c>
      <c r="Q47" s="19">
        <v>0.66360000000000008</v>
      </c>
      <c r="R47" s="19">
        <v>1.99</v>
      </c>
      <c r="S47" s="19">
        <v>12.95</v>
      </c>
      <c r="T47" s="19">
        <v>12.91</v>
      </c>
      <c r="U47" t="s">
        <v>225</v>
      </c>
      <c r="V47">
        <f t="shared" si="12"/>
        <v>230</v>
      </c>
      <c r="W47" s="17">
        <f t="shared" si="13"/>
        <v>51.181237294810813</v>
      </c>
      <c r="X47" s="17">
        <f t="shared" si="14"/>
        <v>23</v>
      </c>
      <c r="Y47">
        <f t="shared" si="15"/>
        <v>60</v>
      </c>
      <c r="Z47">
        <f t="shared" si="16"/>
        <v>46</v>
      </c>
      <c r="AA47">
        <f t="shared" ca="1" si="17"/>
        <v>0.92</v>
      </c>
      <c r="AB47">
        <f t="shared" si="18"/>
        <v>871</v>
      </c>
      <c r="AC47">
        <f t="shared" si="19"/>
        <v>223</v>
      </c>
      <c r="AD47">
        <f t="shared" si="20"/>
        <v>965</v>
      </c>
      <c r="AE47">
        <f t="shared" ca="1" si="21"/>
        <v>717</v>
      </c>
      <c r="AF47">
        <f t="shared" si="22"/>
        <v>2059</v>
      </c>
      <c r="AG47">
        <f t="shared" ca="1" si="23"/>
        <v>2776</v>
      </c>
    </row>
    <row r="48" spans="1:33">
      <c r="A48" s="6">
        <v>40</v>
      </c>
      <c r="B48" s="6" t="s">
        <v>308</v>
      </c>
      <c r="C48" s="19" t="s">
        <v>211</v>
      </c>
      <c r="D48" s="19" t="s">
        <v>19</v>
      </c>
      <c r="E48" s="19" t="s">
        <v>20</v>
      </c>
      <c r="F48" s="79">
        <v>20</v>
      </c>
      <c r="G48" s="19" t="s">
        <v>108</v>
      </c>
      <c r="H48" s="19">
        <v>200</v>
      </c>
      <c r="I48" s="19">
        <v>8449</v>
      </c>
      <c r="J48" s="19">
        <v>540</v>
      </c>
      <c r="K48" s="19">
        <v>10.8</v>
      </c>
      <c r="L48" s="19">
        <v>528</v>
      </c>
      <c r="M48" s="19">
        <v>0</v>
      </c>
      <c r="N48" s="19">
        <v>0</v>
      </c>
      <c r="O48" s="19">
        <v>0</v>
      </c>
      <c r="P48" s="19">
        <v>0.9778</v>
      </c>
      <c r="Q48" s="19">
        <v>1</v>
      </c>
      <c r="R48" s="19">
        <v>0</v>
      </c>
      <c r="S48" s="19">
        <v>13.33</v>
      </c>
      <c r="T48" s="19">
        <v>13.33</v>
      </c>
      <c r="U48" t="s">
        <v>212</v>
      </c>
      <c r="V48">
        <f t="shared" si="12"/>
        <v>200</v>
      </c>
      <c r="W48" s="17">
        <f t="shared" si="13"/>
        <v>528</v>
      </c>
      <c r="X48" s="17">
        <f t="shared" si="14"/>
        <v>87</v>
      </c>
      <c r="Y48">
        <f t="shared" si="15"/>
        <v>18</v>
      </c>
      <c r="Z48">
        <f t="shared" si="16"/>
        <v>46</v>
      </c>
      <c r="AA48">
        <f t="shared" ca="1" si="17"/>
        <v>0.64</v>
      </c>
      <c r="AB48">
        <f t="shared" si="18"/>
        <v>144</v>
      </c>
      <c r="AC48">
        <f t="shared" si="19"/>
        <v>964</v>
      </c>
      <c r="AD48">
        <f t="shared" si="20"/>
        <v>965</v>
      </c>
      <c r="AE48">
        <f t="shared" ca="1" si="21"/>
        <v>168</v>
      </c>
      <c r="AF48">
        <f t="shared" si="22"/>
        <v>2073</v>
      </c>
      <c r="AG48">
        <f t="shared" ca="1" si="23"/>
        <v>2241</v>
      </c>
    </row>
    <row r="49" spans="1:33">
      <c r="A49" s="6">
        <v>48</v>
      </c>
      <c r="B49" s="6" t="s">
        <v>312</v>
      </c>
      <c r="C49" s="19" t="s">
        <v>221</v>
      </c>
      <c r="D49" s="19" t="s">
        <v>19</v>
      </c>
      <c r="E49" s="19" t="s">
        <v>20</v>
      </c>
      <c r="F49" s="79">
        <v>20</v>
      </c>
      <c r="G49" s="19" t="s">
        <v>153</v>
      </c>
      <c r="H49" s="19">
        <v>230</v>
      </c>
      <c r="I49" s="19">
        <v>2546</v>
      </c>
      <c r="J49" s="19">
        <v>206</v>
      </c>
      <c r="K49" s="19">
        <v>3.58</v>
      </c>
      <c r="L49" s="19">
        <v>135</v>
      </c>
      <c r="M49" s="19">
        <v>0</v>
      </c>
      <c r="N49" s="19">
        <v>0</v>
      </c>
      <c r="O49" s="19">
        <v>30</v>
      </c>
      <c r="P49" s="19">
        <v>0.65529999999999999</v>
      </c>
      <c r="Q49" s="19">
        <v>0.78490000000000004</v>
      </c>
      <c r="R49" s="19">
        <v>4.5</v>
      </c>
      <c r="S49" s="19">
        <v>12.64</v>
      </c>
      <c r="T49" s="19">
        <v>13.48</v>
      </c>
      <c r="U49" t="s">
        <v>227</v>
      </c>
      <c r="V49">
        <f t="shared" si="12"/>
        <v>230</v>
      </c>
      <c r="W49" s="17">
        <f t="shared" si="13"/>
        <v>57.834091836749188</v>
      </c>
      <c r="X49" s="17">
        <f t="shared" si="14"/>
        <v>26</v>
      </c>
      <c r="Y49">
        <f t="shared" si="15"/>
        <v>60</v>
      </c>
      <c r="Z49">
        <f t="shared" si="16"/>
        <v>46</v>
      </c>
      <c r="AA49">
        <f t="shared" ca="1" si="17"/>
        <v>0.65</v>
      </c>
      <c r="AB49">
        <f t="shared" si="18"/>
        <v>871</v>
      </c>
      <c r="AC49">
        <f t="shared" si="19"/>
        <v>256</v>
      </c>
      <c r="AD49">
        <f t="shared" si="20"/>
        <v>965</v>
      </c>
      <c r="AE49">
        <f t="shared" ca="1" si="21"/>
        <v>179</v>
      </c>
      <c r="AF49">
        <f t="shared" si="22"/>
        <v>2092</v>
      </c>
      <c r="AG49">
        <f t="shared" ca="1" si="23"/>
        <v>2271</v>
      </c>
    </row>
    <row r="50" spans="1:33">
      <c r="A50" s="6">
        <v>44</v>
      </c>
      <c r="B50" s="6" t="s">
        <v>304</v>
      </c>
      <c r="C50" s="19" t="s">
        <v>36</v>
      </c>
      <c r="D50" s="19" t="s">
        <v>19</v>
      </c>
      <c r="E50" s="19" t="s">
        <v>20</v>
      </c>
      <c r="F50" s="79">
        <v>20</v>
      </c>
      <c r="G50" s="19" t="s">
        <v>55</v>
      </c>
      <c r="H50" s="19">
        <v>214</v>
      </c>
      <c r="I50" s="19">
        <v>5772</v>
      </c>
      <c r="J50" s="19">
        <v>378</v>
      </c>
      <c r="K50" s="19">
        <v>7.1</v>
      </c>
      <c r="L50" s="19">
        <v>346</v>
      </c>
      <c r="M50" s="19">
        <v>0</v>
      </c>
      <c r="N50" s="19">
        <v>0</v>
      </c>
      <c r="O50" s="19">
        <v>9</v>
      </c>
      <c r="P50" s="19">
        <v>0.9153</v>
      </c>
      <c r="Q50" s="19">
        <v>0.96110000000000007</v>
      </c>
      <c r="R50" s="19">
        <v>38.44</v>
      </c>
      <c r="S50" s="19">
        <v>13.62</v>
      </c>
      <c r="T50" s="19">
        <v>13.99</v>
      </c>
      <c r="U50" t="s">
        <v>56</v>
      </c>
      <c r="V50">
        <f t="shared" si="12"/>
        <v>210</v>
      </c>
      <c r="W50" s="17">
        <f t="shared" si="13"/>
        <v>301.1383865346528</v>
      </c>
      <c r="X50" s="17">
        <f t="shared" si="14"/>
        <v>69</v>
      </c>
      <c r="Y50">
        <f t="shared" si="15"/>
        <v>36</v>
      </c>
      <c r="Z50">
        <f t="shared" si="16"/>
        <v>46</v>
      </c>
      <c r="AA50">
        <f t="shared" ca="1" si="17"/>
        <v>0.69</v>
      </c>
      <c r="AB50">
        <f t="shared" si="18"/>
        <v>405</v>
      </c>
      <c r="AC50">
        <f t="shared" si="19"/>
        <v>747</v>
      </c>
      <c r="AD50">
        <f t="shared" si="20"/>
        <v>965</v>
      </c>
      <c r="AE50">
        <f t="shared" ca="1" si="21"/>
        <v>227</v>
      </c>
      <c r="AF50">
        <f t="shared" si="22"/>
        <v>2117</v>
      </c>
      <c r="AG50">
        <f t="shared" ca="1" si="23"/>
        <v>2344</v>
      </c>
    </row>
    <row r="51" spans="1:33">
      <c r="A51" s="6">
        <v>45</v>
      </c>
      <c r="B51" s="6" t="s">
        <v>312</v>
      </c>
      <c r="C51" s="19" t="s">
        <v>221</v>
      </c>
      <c r="D51" s="19" t="s">
        <v>19</v>
      </c>
      <c r="E51" s="19" t="s">
        <v>20</v>
      </c>
      <c r="F51" s="79">
        <v>20</v>
      </c>
      <c r="G51" s="19" t="s">
        <v>241</v>
      </c>
      <c r="H51" s="19">
        <v>220</v>
      </c>
      <c r="I51" s="19">
        <v>3685</v>
      </c>
      <c r="J51" s="19">
        <v>242</v>
      </c>
      <c r="K51" s="19">
        <v>4.4000000000000004</v>
      </c>
      <c r="L51" s="19">
        <v>227</v>
      </c>
      <c r="M51" s="19">
        <v>0</v>
      </c>
      <c r="N51" s="19">
        <v>0</v>
      </c>
      <c r="O51" s="19">
        <v>6</v>
      </c>
      <c r="P51" s="19">
        <v>0.93799999999999994</v>
      </c>
      <c r="Q51" s="19">
        <v>0.96189999999999998</v>
      </c>
      <c r="R51" s="19">
        <v>37.83</v>
      </c>
      <c r="S51" s="19">
        <v>14.13</v>
      </c>
      <c r="T51" s="19">
        <v>14.29</v>
      </c>
      <c r="U51" t="s">
        <v>242</v>
      </c>
      <c r="V51">
        <f t="shared" si="12"/>
        <v>220</v>
      </c>
      <c r="W51" s="17">
        <f t="shared" si="13"/>
        <v>198.14384842222913</v>
      </c>
      <c r="X51" s="17">
        <f t="shared" si="14"/>
        <v>57</v>
      </c>
      <c r="Y51">
        <f t="shared" si="15"/>
        <v>44</v>
      </c>
      <c r="Z51">
        <f t="shared" si="16"/>
        <v>46</v>
      </c>
      <c r="AA51">
        <f t="shared" ca="1" si="17"/>
        <v>0.67</v>
      </c>
      <c r="AB51">
        <f t="shared" si="18"/>
        <v>547</v>
      </c>
      <c r="AC51">
        <f t="shared" si="19"/>
        <v>606</v>
      </c>
      <c r="AD51">
        <f t="shared" si="20"/>
        <v>965</v>
      </c>
      <c r="AE51">
        <f t="shared" ca="1" si="21"/>
        <v>202</v>
      </c>
      <c r="AF51">
        <f t="shared" si="22"/>
        <v>2118</v>
      </c>
      <c r="AG51">
        <f t="shared" ca="1" si="23"/>
        <v>2320</v>
      </c>
    </row>
    <row r="52" spans="1:33">
      <c r="A52" s="6">
        <v>51</v>
      </c>
      <c r="B52" s="6" t="s">
        <v>308</v>
      </c>
      <c r="C52" s="19" t="s">
        <v>216</v>
      </c>
      <c r="D52" s="19" t="s">
        <v>19</v>
      </c>
      <c r="E52" s="19" t="s">
        <v>20</v>
      </c>
      <c r="F52" s="79">
        <v>20</v>
      </c>
      <c r="G52" s="19" t="s">
        <v>24</v>
      </c>
      <c r="H52" s="19">
        <v>240</v>
      </c>
      <c r="I52" s="19">
        <v>2421</v>
      </c>
      <c r="J52" s="19">
        <v>210</v>
      </c>
      <c r="K52" s="19">
        <v>3.5</v>
      </c>
      <c r="L52" s="19">
        <v>133</v>
      </c>
      <c r="M52" s="19">
        <v>0</v>
      </c>
      <c r="N52" s="19">
        <v>0</v>
      </c>
      <c r="O52" s="19">
        <v>41</v>
      </c>
      <c r="P52" s="19">
        <v>0.63330000000000009</v>
      </c>
      <c r="Q52" s="19">
        <v>0.69269999999999998</v>
      </c>
      <c r="R52" s="19">
        <v>3.24</v>
      </c>
      <c r="S52" s="19">
        <v>12.17</v>
      </c>
      <c r="T52" s="19">
        <v>12.44</v>
      </c>
      <c r="U52" t="s">
        <v>25</v>
      </c>
      <c r="V52">
        <f t="shared" si="12"/>
        <v>240</v>
      </c>
      <c r="W52" s="17">
        <f t="shared" si="13"/>
        <v>36.792542286678461</v>
      </c>
      <c r="X52" s="17">
        <f t="shared" si="14"/>
        <v>15</v>
      </c>
      <c r="Y52">
        <f t="shared" si="15"/>
        <v>72</v>
      </c>
      <c r="Z52">
        <f t="shared" si="16"/>
        <v>46</v>
      </c>
      <c r="AA52">
        <f t="shared" ca="1" si="17"/>
        <v>0.78</v>
      </c>
      <c r="AB52">
        <f t="shared" si="18"/>
        <v>1145</v>
      </c>
      <c r="AC52">
        <f t="shared" si="19"/>
        <v>140</v>
      </c>
      <c r="AD52">
        <f t="shared" si="20"/>
        <v>965</v>
      </c>
      <c r="AE52">
        <f t="shared" ca="1" si="21"/>
        <v>371</v>
      </c>
      <c r="AF52">
        <f t="shared" si="22"/>
        <v>2250</v>
      </c>
      <c r="AG52">
        <f t="shared" ca="1" si="23"/>
        <v>2621</v>
      </c>
    </row>
    <row r="53" spans="1:33">
      <c r="A53" s="6">
        <v>52</v>
      </c>
      <c r="B53" s="6" t="s">
        <v>306</v>
      </c>
      <c r="C53" s="19" t="s">
        <v>284</v>
      </c>
      <c r="D53" s="19" t="s">
        <v>19</v>
      </c>
      <c r="E53" s="19" t="s">
        <v>20</v>
      </c>
      <c r="F53" s="79">
        <v>20</v>
      </c>
      <c r="G53" s="19" t="s">
        <v>200</v>
      </c>
      <c r="H53" s="19">
        <v>244</v>
      </c>
      <c r="I53" s="19">
        <v>2275</v>
      </c>
      <c r="J53" s="19">
        <v>193</v>
      </c>
      <c r="K53" s="19">
        <v>3.16</v>
      </c>
      <c r="L53" s="19">
        <v>113</v>
      </c>
      <c r="M53" s="19">
        <v>0</v>
      </c>
      <c r="N53" s="19">
        <v>0</v>
      </c>
      <c r="O53" s="19">
        <v>62</v>
      </c>
      <c r="P53" s="19">
        <v>0.58550000000000002</v>
      </c>
      <c r="Q53" s="19">
        <v>0.63130000000000008</v>
      </c>
      <c r="R53" s="19">
        <v>1.82</v>
      </c>
      <c r="S53" s="19">
        <v>12.37</v>
      </c>
      <c r="T53" s="19">
        <v>12.61</v>
      </c>
      <c r="U53" t="s">
        <v>257</v>
      </c>
      <c r="V53">
        <f t="shared" si="12"/>
        <v>240</v>
      </c>
      <c r="W53" s="17">
        <f t="shared" si="13"/>
        <v>22.589348527404091</v>
      </c>
      <c r="X53" s="17">
        <f t="shared" si="14"/>
        <v>5</v>
      </c>
      <c r="Y53">
        <f t="shared" si="15"/>
        <v>77</v>
      </c>
      <c r="Z53">
        <f t="shared" si="16"/>
        <v>46</v>
      </c>
      <c r="AA53">
        <f t="shared" ca="1" si="17"/>
        <v>0.75</v>
      </c>
      <c r="AB53">
        <f t="shared" si="18"/>
        <v>1267</v>
      </c>
      <c r="AC53">
        <f t="shared" si="19"/>
        <v>42</v>
      </c>
      <c r="AD53">
        <f t="shared" si="20"/>
        <v>965</v>
      </c>
      <c r="AE53">
        <f t="shared" ca="1" si="21"/>
        <v>317</v>
      </c>
      <c r="AF53">
        <f t="shared" si="22"/>
        <v>2274</v>
      </c>
      <c r="AG53">
        <f t="shared" ca="1" si="23"/>
        <v>2591</v>
      </c>
    </row>
    <row r="54" spans="1:33">
      <c r="A54" s="6">
        <v>58</v>
      </c>
      <c r="B54" s="61" t="s">
        <v>309</v>
      </c>
      <c r="C54" s="19" t="s">
        <v>58</v>
      </c>
      <c r="D54" s="19" t="s">
        <v>19</v>
      </c>
      <c r="E54" s="19" t="s">
        <v>20</v>
      </c>
      <c r="F54" s="79">
        <v>21</v>
      </c>
      <c r="G54" s="19" t="s">
        <v>59</v>
      </c>
      <c r="H54" s="19">
        <v>227</v>
      </c>
      <c r="I54" s="19">
        <v>4778</v>
      </c>
      <c r="J54" s="19">
        <v>392</v>
      </c>
      <c r="K54" s="19">
        <v>6.91</v>
      </c>
      <c r="L54" s="19">
        <v>248</v>
      </c>
      <c r="M54" s="19">
        <v>0</v>
      </c>
      <c r="N54" s="19">
        <v>0</v>
      </c>
      <c r="O54" s="19">
        <v>82</v>
      </c>
      <c r="P54" s="19">
        <v>0.63270000000000004</v>
      </c>
      <c r="Q54" s="19">
        <v>0.75150000000000006</v>
      </c>
      <c r="R54" s="19">
        <v>3.02</v>
      </c>
      <c r="S54" s="19">
        <v>11.77</v>
      </c>
      <c r="T54" s="19">
        <v>12.73</v>
      </c>
      <c r="U54" t="s">
        <v>60</v>
      </c>
      <c r="V54">
        <f t="shared" si="12"/>
        <v>220</v>
      </c>
      <c r="W54" s="17">
        <f t="shared" si="13"/>
        <v>91.243750450465996</v>
      </c>
      <c r="X54" s="17">
        <f t="shared" si="14"/>
        <v>37</v>
      </c>
      <c r="Y54">
        <f t="shared" si="15"/>
        <v>55</v>
      </c>
      <c r="Z54">
        <f t="shared" si="16"/>
        <v>59.5</v>
      </c>
      <c r="AA54">
        <f t="shared" ca="1" si="17"/>
        <v>0.76</v>
      </c>
      <c r="AB54">
        <f t="shared" si="18"/>
        <v>765</v>
      </c>
      <c r="AC54">
        <f t="shared" si="19"/>
        <v>377</v>
      </c>
      <c r="AD54">
        <f t="shared" si="20"/>
        <v>1420</v>
      </c>
      <c r="AE54">
        <f t="shared" ca="1" si="21"/>
        <v>334</v>
      </c>
      <c r="AF54">
        <f t="shared" si="22"/>
        <v>2562</v>
      </c>
      <c r="AG54">
        <f t="shared" ca="1" si="23"/>
        <v>2896</v>
      </c>
    </row>
    <row r="55" spans="1:33">
      <c r="A55" s="6">
        <v>53</v>
      </c>
      <c r="B55" s="6" t="s">
        <v>316</v>
      </c>
      <c r="C55" s="19" t="s">
        <v>110</v>
      </c>
      <c r="D55" s="19" t="s">
        <v>19</v>
      </c>
      <c r="E55" s="19" t="s">
        <v>20</v>
      </c>
      <c r="F55" s="79">
        <v>21</v>
      </c>
      <c r="G55" s="19" t="s">
        <v>111</v>
      </c>
      <c r="H55" s="19">
        <v>210</v>
      </c>
      <c r="I55" s="19">
        <v>14471</v>
      </c>
      <c r="J55" s="19">
        <v>1049</v>
      </c>
      <c r="K55" s="19">
        <v>19.98</v>
      </c>
      <c r="L55" s="19">
        <v>825</v>
      </c>
      <c r="M55" s="19">
        <v>0</v>
      </c>
      <c r="N55" s="19">
        <v>0</v>
      </c>
      <c r="O55" s="19">
        <v>141</v>
      </c>
      <c r="P55" s="19">
        <v>0.78650000000000009</v>
      </c>
      <c r="Q55" s="19">
        <v>0.82750000000000001</v>
      </c>
      <c r="R55" s="19">
        <v>5.85</v>
      </c>
      <c r="S55" s="19">
        <v>12.54</v>
      </c>
      <c r="T55" s="19">
        <v>12.63</v>
      </c>
      <c r="U55" t="s">
        <v>213</v>
      </c>
      <c r="V55">
        <f t="shared" si="12"/>
        <v>210</v>
      </c>
      <c r="W55" s="17">
        <f t="shared" si="13"/>
        <v>425.24768409501593</v>
      </c>
      <c r="X55" s="17">
        <f t="shared" si="14"/>
        <v>81</v>
      </c>
      <c r="Y55">
        <f t="shared" si="15"/>
        <v>29</v>
      </c>
      <c r="Z55">
        <f t="shared" si="16"/>
        <v>59.5</v>
      </c>
      <c r="AA55">
        <f t="shared" ca="1" si="17"/>
        <v>0.78</v>
      </c>
      <c r="AB55">
        <f t="shared" si="18"/>
        <v>293</v>
      </c>
      <c r="AC55">
        <f t="shared" si="19"/>
        <v>891</v>
      </c>
      <c r="AD55">
        <f t="shared" si="20"/>
        <v>1420</v>
      </c>
      <c r="AE55">
        <f t="shared" ca="1" si="21"/>
        <v>371</v>
      </c>
      <c r="AF55">
        <f t="shared" si="22"/>
        <v>2604</v>
      </c>
      <c r="AG55">
        <f t="shared" ca="1" si="23"/>
        <v>2975</v>
      </c>
    </row>
    <row r="56" spans="1:33">
      <c r="A56" s="6">
        <v>55</v>
      </c>
      <c r="B56" s="6" t="s">
        <v>307</v>
      </c>
      <c r="C56" s="19" t="s">
        <v>107</v>
      </c>
      <c r="D56" s="19" t="s">
        <v>19</v>
      </c>
      <c r="E56" s="19" t="s">
        <v>20</v>
      </c>
      <c r="F56" s="79">
        <v>21</v>
      </c>
      <c r="G56" s="19" t="s">
        <v>57</v>
      </c>
      <c r="H56" s="19">
        <v>216</v>
      </c>
      <c r="I56" s="19">
        <v>8974</v>
      </c>
      <c r="J56" s="19">
        <v>617</v>
      </c>
      <c r="K56" s="19">
        <v>11.45</v>
      </c>
      <c r="L56" s="19">
        <v>528</v>
      </c>
      <c r="M56" s="19">
        <v>0</v>
      </c>
      <c r="N56" s="19">
        <v>0</v>
      </c>
      <c r="O56" s="19">
        <v>70</v>
      </c>
      <c r="P56" s="19">
        <v>0.85580000000000001</v>
      </c>
      <c r="Q56" s="19">
        <v>0.88</v>
      </c>
      <c r="R56" s="19">
        <v>7.54</v>
      </c>
      <c r="S56" s="19">
        <v>13.13</v>
      </c>
      <c r="T56" s="19">
        <v>13.33</v>
      </c>
      <c r="U56" t="s">
        <v>252</v>
      </c>
      <c r="V56">
        <f t="shared" si="12"/>
        <v>210</v>
      </c>
      <c r="W56" s="17">
        <f t="shared" si="13"/>
        <v>337.53846811643825</v>
      </c>
      <c r="X56" s="17">
        <f t="shared" si="14"/>
        <v>76</v>
      </c>
      <c r="Y56">
        <f t="shared" si="15"/>
        <v>40</v>
      </c>
      <c r="Z56">
        <f t="shared" si="16"/>
        <v>59.5</v>
      </c>
      <c r="AA56">
        <f t="shared" ca="1" si="17"/>
        <v>0.99</v>
      </c>
      <c r="AB56">
        <f t="shared" si="18"/>
        <v>475</v>
      </c>
      <c r="AC56">
        <f t="shared" si="19"/>
        <v>831</v>
      </c>
      <c r="AD56">
        <f t="shared" si="20"/>
        <v>1420</v>
      </c>
      <c r="AE56">
        <f t="shared" ca="1" si="21"/>
        <v>961</v>
      </c>
      <c r="AF56">
        <f t="shared" si="22"/>
        <v>2726</v>
      </c>
      <c r="AG56">
        <f t="shared" ca="1" si="23"/>
        <v>3687</v>
      </c>
    </row>
    <row r="57" spans="1:33">
      <c r="A57" s="6">
        <v>60</v>
      </c>
      <c r="B57" s="6" t="s">
        <v>304</v>
      </c>
      <c r="C57" s="19" t="s">
        <v>161</v>
      </c>
      <c r="D57" s="19" t="s">
        <v>19</v>
      </c>
      <c r="E57" s="19" t="s">
        <v>20</v>
      </c>
      <c r="F57" s="79">
        <v>21</v>
      </c>
      <c r="G57" s="19" t="s">
        <v>106</v>
      </c>
      <c r="H57" s="19">
        <v>236</v>
      </c>
      <c r="I57" s="19">
        <v>3829</v>
      </c>
      <c r="J57" s="19">
        <v>290</v>
      </c>
      <c r="K57" s="19">
        <v>4.91</v>
      </c>
      <c r="L57" s="19">
        <v>205</v>
      </c>
      <c r="M57" s="19">
        <v>0</v>
      </c>
      <c r="N57" s="19">
        <v>0</v>
      </c>
      <c r="O57" s="19">
        <v>79</v>
      </c>
      <c r="P57" s="19">
        <v>0.70690000000000008</v>
      </c>
      <c r="Q57" s="19">
        <v>0.71430000000000005</v>
      </c>
      <c r="R57" s="19">
        <v>2.59</v>
      </c>
      <c r="S57" s="19">
        <v>13.12</v>
      </c>
      <c r="T57" s="19">
        <v>13.12</v>
      </c>
      <c r="U57" t="s">
        <v>218</v>
      </c>
      <c r="V57">
        <f t="shared" si="12"/>
        <v>230</v>
      </c>
      <c r="W57" s="17">
        <f t="shared" si="13"/>
        <v>63.14458836957121</v>
      </c>
      <c r="X57" s="17">
        <f t="shared" si="14"/>
        <v>29</v>
      </c>
      <c r="Y57">
        <f t="shared" si="15"/>
        <v>67</v>
      </c>
      <c r="Z57">
        <f t="shared" si="16"/>
        <v>59.5</v>
      </c>
      <c r="AA57">
        <f t="shared" ca="1" si="17"/>
        <v>0.64</v>
      </c>
      <c r="AB57">
        <f t="shared" si="18"/>
        <v>1028</v>
      </c>
      <c r="AC57">
        <f t="shared" si="19"/>
        <v>288</v>
      </c>
      <c r="AD57">
        <f t="shared" si="20"/>
        <v>1420</v>
      </c>
      <c r="AE57">
        <f t="shared" ca="1" si="21"/>
        <v>168</v>
      </c>
      <c r="AF57">
        <f t="shared" si="22"/>
        <v>2736</v>
      </c>
      <c r="AG57">
        <f t="shared" ca="1" si="23"/>
        <v>2904</v>
      </c>
    </row>
    <row r="58" spans="1:33">
      <c r="A58" s="6">
        <v>59</v>
      </c>
      <c r="B58" s="6" t="s">
        <v>305</v>
      </c>
      <c r="C58" s="19" t="s">
        <v>107</v>
      </c>
      <c r="D58" s="19" t="s">
        <v>19</v>
      </c>
      <c r="E58" s="19" t="s">
        <v>20</v>
      </c>
      <c r="F58" s="79">
        <v>21</v>
      </c>
      <c r="G58" s="19" t="s">
        <v>198</v>
      </c>
      <c r="H58" s="19">
        <v>230</v>
      </c>
      <c r="I58" s="19">
        <v>3849</v>
      </c>
      <c r="J58" s="19">
        <v>281</v>
      </c>
      <c r="K58" s="19">
        <v>4.8899999999999997</v>
      </c>
      <c r="L58" s="19">
        <v>224</v>
      </c>
      <c r="M58" s="19">
        <v>0</v>
      </c>
      <c r="N58" s="19">
        <v>0</v>
      </c>
      <c r="O58" s="19">
        <v>36</v>
      </c>
      <c r="P58" s="19">
        <v>0.79720000000000002</v>
      </c>
      <c r="Q58" s="19">
        <v>0.85170000000000001</v>
      </c>
      <c r="R58" s="19">
        <v>6.22</v>
      </c>
      <c r="S58" s="19">
        <v>14.08</v>
      </c>
      <c r="T58" s="19">
        <v>14.02</v>
      </c>
      <c r="U58" t="s">
        <v>261</v>
      </c>
      <c r="V58">
        <f t="shared" si="12"/>
        <v>230</v>
      </c>
      <c r="W58" s="17">
        <f t="shared" si="13"/>
        <v>127.71775726742425</v>
      </c>
      <c r="X58" s="17">
        <f t="shared" si="14"/>
        <v>45</v>
      </c>
      <c r="Y58">
        <f t="shared" si="15"/>
        <v>60</v>
      </c>
      <c r="Z58">
        <f t="shared" si="16"/>
        <v>59.5</v>
      </c>
      <c r="AA58">
        <f t="shared" ca="1" si="17"/>
        <v>0.61</v>
      </c>
      <c r="AB58">
        <f t="shared" si="18"/>
        <v>871</v>
      </c>
      <c r="AC58">
        <f t="shared" si="19"/>
        <v>467</v>
      </c>
      <c r="AD58">
        <f t="shared" si="20"/>
        <v>1420</v>
      </c>
      <c r="AE58">
        <f t="shared" ca="1" si="21"/>
        <v>139</v>
      </c>
      <c r="AF58">
        <f t="shared" si="22"/>
        <v>2758</v>
      </c>
      <c r="AG58">
        <f t="shared" ca="1" si="23"/>
        <v>2897</v>
      </c>
    </row>
    <row r="59" spans="1:33">
      <c r="A59" s="6">
        <v>54</v>
      </c>
      <c r="B59" s="61" t="s">
        <v>309</v>
      </c>
      <c r="C59" s="19" t="s">
        <v>36</v>
      </c>
      <c r="D59" s="19" t="s">
        <v>19</v>
      </c>
      <c r="E59" s="19" t="s">
        <v>20</v>
      </c>
      <c r="F59" s="79">
        <v>21</v>
      </c>
      <c r="G59" s="19" t="s">
        <v>43</v>
      </c>
      <c r="H59" s="19">
        <v>215</v>
      </c>
      <c r="I59" s="19">
        <v>9774</v>
      </c>
      <c r="J59" s="19">
        <v>662</v>
      </c>
      <c r="K59" s="19">
        <v>12.32</v>
      </c>
      <c r="L59" s="19">
        <v>589</v>
      </c>
      <c r="M59" s="19">
        <v>0</v>
      </c>
      <c r="N59" s="19">
        <v>0</v>
      </c>
      <c r="O59" s="19">
        <v>42</v>
      </c>
      <c r="P59" s="19">
        <v>0.88970000000000005</v>
      </c>
      <c r="Q59" s="19">
        <v>0.91600000000000004</v>
      </c>
      <c r="R59" s="19">
        <v>14.02</v>
      </c>
      <c r="S59" s="19">
        <v>13.6</v>
      </c>
      <c r="T59" s="19">
        <v>13.59</v>
      </c>
      <c r="U59" t="s">
        <v>44</v>
      </c>
      <c r="V59">
        <f t="shared" si="12"/>
        <v>210</v>
      </c>
      <c r="W59" s="17">
        <f t="shared" si="13"/>
        <v>433.26085520514039</v>
      </c>
      <c r="X59" s="17">
        <f t="shared" si="14"/>
        <v>82</v>
      </c>
      <c r="Y59">
        <f t="shared" si="15"/>
        <v>38.5</v>
      </c>
      <c r="Z59">
        <f t="shared" si="16"/>
        <v>59.5</v>
      </c>
      <c r="AA59">
        <f t="shared" ca="1" si="17"/>
        <v>0.62</v>
      </c>
      <c r="AB59">
        <f t="shared" si="18"/>
        <v>448</v>
      </c>
      <c r="AC59">
        <f t="shared" si="19"/>
        <v>903</v>
      </c>
      <c r="AD59">
        <f t="shared" si="20"/>
        <v>1420</v>
      </c>
      <c r="AE59">
        <f t="shared" ca="1" si="21"/>
        <v>148</v>
      </c>
      <c r="AF59">
        <f t="shared" si="22"/>
        <v>2771</v>
      </c>
      <c r="AG59">
        <f t="shared" ca="1" si="23"/>
        <v>2919</v>
      </c>
    </row>
    <row r="60" spans="1:33">
      <c r="A60" s="6">
        <v>61</v>
      </c>
      <c r="B60" s="6" t="s">
        <v>312</v>
      </c>
      <c r="C60" s="19" t="s">
        <v>221</v>
      </c>
      <c r="D60" s="19" t="s">
        <v>19</v>
      </c>
      <c r="E60" s="19" t="s">
        <v>20</v>
      </c>
      <c r="F60" s="79">
        <v>21</v>
      </c>
      <c r="G60" s="19" t="s">
        <v>199</v>
      </c>
      <c r="H60" s="19">
        <v>238</v>
      </c>
      <c r="I60" s="19">
        <v>2765</v>
      </c>
      <c r="J60" s="19">
        <v>201</v>
      </c>
      <c r="K60" s="19">
        <v>3.38</v>
      </c>
      <c r="L60" s="19">
        <v>150</v>
      </c>
      <c r="M60" s="19">
        <v>0</v>
      </c>
      <c r="N60" s="19">
        <v>0</v>
      </c>
      <c r="O60" s="19">
        <v>34</v>
      </c>
      <c r="P60" s="19">
        <v>0.74629999999999996</v>
      </c>
      <c r="Q60" s="19">
        <v>0.78949999999999998</v>
      </c>
      <c r="R60" s="19">
        <v>4.41</v>
      </c>
      <c r="S60" s="19">
        <v>13.78</v>
      </c>
      <c r="T60" s="19">
        <v>14.17</v>
      </c>
      <c r="U60" t="s">
        <v>287</v>
      </c>
      <c r="V60">
        <f t="shared" si="12"/>
        <v>230</v>
      </c>
      <c r="W60" s="17">
        <f t="shared" si="13"/>
        <v>65.587900516596662</v>
      </c>
      <c r="X60" s="17">
        <f t="shared" si="14"/>
        <v>31</v>
      </c>
      <c r="Y60">
        <f t="shared" si="15"/>
        <v>68</v>
      </c>
      <c r="Z60">
        <f t="shared" si="16"/>
        <v>59.5</v>
      </c>
      <c r="AA60">
        <f t="shared" ca="1" si="17"/>
        <v>0.54</v>
      </c>
      <c r="AB60">
        <f t="shared" si="18"/>
        <v>1051</v>
      </c>
      <c r="AC60">
        <f t="shared" si="19"/>
        <v>310</v>
      </c>
      <c r="AD60">
        <f t="shared" si="20"/>
        <v>1420</v>
      </c>
      <c r="AE60">
        <f t="shared" ca="1" si="21"/>
        <v>86</v>
      </c>
      <c r="AF60">
        <f t="shared" si="22"/>
        <v>2781</v>
      </c>
      <c r="AG60">
        <f t="shared" ca="1" si="23"/>
        <v>2867</v>
      </c>
    </row>
    <row r="61" spans="1:33">
      <c r="A61" s="6">
        <v>63</v>
      </c>
      <c r="B61" s="6" t="s">
        <v>305</v>
      </c>
      <c r="C61" s="19" t="s">
        <v>69</v>
      </c>
      <c r="D61" s="19" t="s">
        <v>19</v>
      </c>
      <c r="E61" s="19" t="s">
        <v>20</v>
      </c>
      <c r="F61" s="79">
        <v>21</v>
      </c>
      <c r="G61" s="19" t="s">
        <v>75</v>
      </c>
      <c r="H61" s="19">
        <v>243</v>
      </c>
      <c r="I61" s="19">
        <v>2129</v>
      </c>
      <c r="J61" s="19">
        <v>207</v>
      </c>
      <c r="K61" s="19">
        <v>3.54</v>
      </c>
      <c r="L61" s="19">
        <v>122</v>
      </c>
      <c r="M61" s="19">
        <v>0</v>
      </c>
      <c r="N61" s="19">
        <v>0</v>
      </c>
      <c r="O61" s="19">
        <v>46</v>
      </c>
      <c r="P61" s="19">
        <v>0.58940000000000003</v>
      </c>
      <c r="Q61" s="19">
        <v>0.72189999999999999</v>
      </c>
      <c r="R61" s="19">
        <v>2.65</v>
      </c>
      <c r="S61" s="19">
        <v>11.53</v>
      </c>
      <c r="T61" s="19">
        <v>12.41</v>
      </c>
      <c r="U61" t="s">
        <v>76</v>
      </c>
      <c r="V61">
        <f t="shared" si="12"/>
        <v>240</v>
      </c>
      <c r="W61" s="17">
        <f t="shared" si="13"/>
        <v>38.996845424375586</v>
      </c>
      <c r="X61" s="17">
        <f t="shared" si="14"/>
        <v>16</v>
      </c>
      <c r="Y61">
        <f t="shared" si="15"/>
        <v>76</v>
      </c>
      <c r="Z61">
        <f t="shared" si="16"/>
        <v>59.5</v>
      </c>
      <c r="AA61">
        <f t="shared" ca="1" si="17"/>
        <v>0.82</v>
      </c>
      <c r="AB61">
        <f t="shared" si="18"/>
        <v>1242</v>
      </c>
      <c r="AC61">
        <f t="shared" si="19"/>
        <v>150</v>
      </c>
      <c r="AD61">
        <f t="shared" si="20"/>
        <v>1420</v>
      </c>
      <c r="AE61">
        <f t="shared" ca="1" si="21"/>
        <v>453</v>
      </c>
      <c r="AF61">
        <f t="shared" si="22"/>
        <v>2812</v>
      </c>
      <c r="AG61">
        <f t="shared" ca="1" si="23"/>
        <v>3265</v>
      </c>
    </row>
    <row r="62" spans="1:33">
      <c r="A62" s="6">
        <v>65</v>
      </c>
      <c r="B62" s="6" t="s">
        <v>317</v>
      </c>
      <c r="C62" s="19" t="s">
        <v>265</v>
      </c>
      <c r="D62" s="19" t="s">
        <v>19</v>
      </c>
      <c r="E62" s="19" t="s">
        <v>20</v>
      </c>
      <c r="F62" s="79">
        <v>21</v>
      </c>
      <c r="G62" s="19" t="s">
        <v>109</v>
      </c>
      <c r="H62" s="19">
        <v>250</v>
      </c>
      <c r="I62" s="19">
        <v>2629</v>
      </c>
      <c r="J62" s="19">
        <v>273</v>
      </c>
      <c r="K62" s="19">
        <v>4.37</v>
      </c>
      <c r="L62" s="19">
        <v>129</v>
      </c>
      <c r="M62" s="19">
        <v>0</v>
      </c>
      <c r="N62" s="19">
        <v>0</v>
      </c>
      <c r="O62" s="19">
        <v>114</v>
      </c>
      <c r="P62" s="19">
        <v>0.47250000000000003</v>
      </c>
      <c r="Q62" s="19">
        <v>0.52650000000000008</v>
      </c>
      <c r="R62" s="19">
        <v>1.1299999999999999</v>
      </c>
      <c r="S62" s="19">
        <v>10.66</v>
      </c>
      <c r="T62" s="19">
        <v>10.93</v>
      </c>
      <c r="U62" t="s">
        <v>266</v>
      </c>
      <c r="V62">
        <f t="shared" si="12"/>
        <v>250</v>
      </c>
      <c r="W62" s="17">
        <f t="shared" si="13"/>
        <v>13.661048230627447</v>
      </c>
      <c r="X62" s="17">
        <f t="shared" si="14"/>
        <v>2</v>
      </c>
      <c r="Y62">
        <f t="shared" si="15"/>
        <v>82</v>
      </c>
      <c r="Z62">
        <f t="shared" si="16"/>
        <v>59.5</v>
      </c>
      <c r="AA62">
        <f t="shared" ca="1" si="17"/>
        <v>0.95</v>
      </c>
      <c r="AB62">
        <f t="shared" si="18"/>
        <v>1392</v>
      </c>
      <c r="AC62">
        <f t="shared" si="19"/>
        <v>16</v>
      </c>
      <c r="AD62">
        <f t="shared" si="20"/>
        <v>1420</v>
      </c>
      <c r="AE62">
        <f t="shared" ca="1" si="21"/>
        <v>815</v>
      </c>
      <c r="AF62">
        <f t="shared" si="22"/>
        <v>2828</v>
      </c>
      <c r="AG62">
        <f t="shared" ca="1" si="23"/>
        <v>3643</v>
      </c>
    </row>
    <row r="63" spans="1:33">
      <c r="A63" s="6">
        <v>57</v>
      </c>
      <c r="B63" s="6" t="s">
        <v>308</v>
      </c>
      <c r="C63" s="19" t="s">
        <v>211</v>
      </c>
      <c r="D63" s="19" t="s">
        <v>19</v>
      </c>
      <c r="E63" s="19" t="s">
        <v>20</v>
      </c>
      <c r="F63" s="79">
        <v>21</v>
      </c>
      <c r="G63" s="19" t="s">
        <v>33</v>
      </c>
      <c r="H63" s="19">
        <v>225</v>
      </c>
      <c r="I63" s="19">
        <v>4524</v>
      </c>
      <c r="J63" s="19">
        <v>313</v>
      </c>
      <c r="K63" s="19">
        <v>5.56</v>
      </c>
      <c r="L63" s="19">
        <v>278</v>
      </c>
      <c r="M63" s="19">
        <v>0</v>
      </c>
      <c r="N63" s="19">
        <v>0</v>
      </c>
      <c r="O63" s="19">
        <v>10</v>
      </c>
      <c r="P63" s="19">
        <v>0.88819999999999999</v>
      </c>
      <c r="Q63" s="19">
        <v>0.94240000000000002</v>
      </c>
      <c r="R63" s="19">
        <v>27.8</v>
      </c>
      <c r="S63" s="19">
        <v>14.38</v>
      </c>
      <c r="T63" s="19">
        <v>14.34</v>
      </c>
      <c r="U63" t="s">
        <v>247</v>
      </c>
      <c r="V63">
        <f t="shared" si="12"/>
        <v>220</v>
      </c>
      <c r="W63" s="17">
        <f t="shared" si="13"/>
        <v>225.87505273761576</v>
      </c>
      <c r="X63" s="17">
        <f t="shared" si="14"/>
        <v>63</v>
      </c>
      <c r="Y63">
        <f t="shared" si="15"/>
        <v>53.5</v>
      </c>
      <c r="Z63">
        <f t="shared" si="16"/>
        <v>59.5</v>
      </c>
      <c r="AA63">
        <f t="shared" ca="1" si="17"/>
        <v>0.64</v>
      </c>
      <c r="AB63">
        <f t="shared" si="18"/>
        <v>734</v>
      </c>
      <c r="AC63">
        <f t="shared" si="19"/>
        <v>676</v>
      </c>
      <c r="AD63">
        <f t="shared" si="20"/>
        <v>1420</v>
      </c>
      <c r="AE63">
        <f t="shared" ca="1" si="21"/>
        <v>168</v>
      </c>
      <c r="AF63">
        <f t="shared" si="22"/>
        <v>2830</v>
      </c>
      <c r="AG63">
        <f t="shared" ca="1" si="23"/>
        <v>2998</v>
      </c>
    </row>
    <row r="64" spans="1:33">
      <c r="A64" s="6">
        <v>56</v>
      </c>
      <c r="B64" s="6" t="s">
        <v>308</v>
      </c>
      <c r="C64" s="19" t="s">
        <v>211</v>
      </c>
      <c r="D64" s="19" t="s">
        <v>19</v>
      </c>
      <c r="E64" s="19" t="s">
        <v>20</v>
      </c>
      <c r="F64" s="79">
        <v>21</v>
      </c>
      <c r="G64" s="19" t="s">
        <v>26</v>
      </c>
      <c r="H64" s="19">
        <v>222</v>
      </c>
      <c r="I64" s="19">
        <v>6457</v>
      </c>
      <c r="J64" s="19">
        <v>470</v>
      </c>
      <c r="K64" s="19">
        <v>8.4700000000000006</v>
      </c>
      <c r="L64" s="19">
        <v>388</v>
      </c>
      <c r="M64" s="19">
        <v>0</v>
      </c>
      <c r="N64" s="19">
        <v>0</v>
      </c>
      <c r="O64" s="19">
        <v>10</v>
      </c>
      <c r="P64" s="19">
        <v>0.82550000000000001</v>
      </c>
      <c r="Q64" s="19">
        <v>0.93270000000000008</v>
      </c>
      <c r="R64" s="19">
        <v>38.799999999999997</v>
      </c>
      <c r="S64" s="19">
        <v>13.1</v>
      </c>
      <c r="T64" s="19">
        <v>14.25</v>
      </c>
      <c r="U64" t="s">
        <v>253</v>
      </c>
      <c r="V64">
        <f t="shared" si="12"/>
        <v>220</v>
      </c>
      <c r="W64" s="17">
        <f t="shared" si="13"/>
        <v>304.03854412400409</v>
      </c>
      <c r="X64" s="17">
        <f t="shared" si="14"/>
        <v>71</v>
      </c>
      <c r="Y64">
        <f t="shared" si="15"/>
        <v>49</v>
      </c>
      <c r="Z64">
        <f t="shared" si="16"/>
        <v>59.5</v>
      </c>
      <c r="AA64">
        <f t="shared" ca="1" si="17"/>
        <v>0.9</v>
      </c>
      <c r="AB64">
        <f t="shared" si="18"/>
        <v>643</v>
      </c>
      <c r="AC64">
        <f t="shared" si="19"/>
        <v>771</v>
      </c>
      <c r="AD64">
        <f t="shared" si="20"/>
        <v>1420</v>
      </c>
      <c r="AE64">
        <f t="shared" ca="1" si="21"/>
        <v>657</v>
      </c>
      <c r="AF64">
        <f t="shared" si="22"/>
        <v>2834</v>
      </c>
      <c r="AG64">
        <f t="shared" ca="1" si="23"/>
        <v>3491</v>
      </c>
    </row>
    <row r="65" spans="1:33">
      <c r="A65" s="6">
        <v>64</v>
      </c>
      <c r="B65" s="6" t="s">
        <v>312</v>
      </c>
      <c r="C65" s="19" t="s">
        <v>221</v>
      </c>
      <c r="D65" s="19" t="s">
        <v>19</v>
      </c>
      <c r="E65" s="19" t="s">
        <v>20</v>
      </c>
      <c r="F65" s="79">
        <v>21</v>
      </c>
      <c r="G65" s="19" t="s">
        <v>268</v>
      </c>
      <c r="H65" s="19">
        <v>245</v>
      </c>
      <c r="I65" s="19">
        <v>1773</v>
      </c>
      <c r="J65" s="19">
        <v>154</v>
      </c>
      <c r="K65" s="19">
        <v>2.5099999999999998</v>
      </c>
      <c r="L65" s="19">
        <v>98</v>
      </c>
      <c r="M65" s="19">
        <v>0</v>
      </c>
      <c r="N65" s="19">
        <v>0</v>
      </c>
      <c r="O65" s="19">
        <v>28</v>
      </c>
      <c r="P65" s="19">
        <v>0.63640000000000008</v>
      </c>
      <c r="Q65" s="19">
        <v>0.77780000000000005</v>
      </c>
      <c r="R65" s="19">
        <v>3.5</v>
      </c>
      <c r="S65" s="19">
        <v>12.48</v>
      </c>
      <c r="T65" s="19">
        <v>13.71</v>
      </c>
      <c r="U65" t="s">
        <v>269</v>
      </c>
      <c r="V65">
        <f t="shared" si="12"/>
        <v>240</v>
      </c>
      <c r="W65" s="17">
        <f t="shared" si="13"/>
        <v>40.669034438138624</v>
      </c>
      <c r="X65" s="17">
        <f t="shared" si="14"/>
        <v>17</v>
      </c>
      <c r="Y65">
        <f t="shared" si="15"/>
        <v>78</v>
      </c>
      <c r="Z65">
        <f t="shared" si="16"/>
        <v>59.5</v>
      </c>
      <c r="AA65">
        <f t="shared" ca="1" si="17"/>
        <v>0.51</v>
      </c>
      <c r="AB65">
        <f t="shared" si="18"/>
        <v>1291</v>
      </c>
      <c r="AC65">
        <f t="shared" si="19"/>
        <v>160</v>
      </c>
      <c r="AD65">
        <f t="shared" si="20"/>
        <v>1420</v>
      </c>
      <c r="AE65">
        <f t="shared" ca="1" si="21"/>
        <v>68</v>
      </c>
      <c r="AF65">
        <f t="shared" si="22"/>
        <v>2871</v>
      </c>
      <c r="AG65">
        <f t="shared" ca="1" si="23"/>
        <v>2939</v>
      </c>
    </row>
    <row r="66" spans="1:33">
      <c r="A66" s="6">
        <v>66</v>
      </c>
      <c r="B66" s="6" t="s">
        <v>304</v>
      </c>
      <c r="C66" s="19" t="s">
        <v>73</v>
      </c>
      <c r="D66" s="19" t="s">
        <v>19</v>
      </c>
      <c r="E66" s="19" t="s">
        <v>20</v>
      </c>
      <c r="F66" s="79">
        <v>21</v>
      </c>
      <c r="G66" s="19" t="s">
        <v>74</v>
      </c>
      <c r="H66" s="19">
        <v>250</v>
      </c>
      <c r="I66" s="19">
        <v>1814</v>
      </c>
      <c r="J66" s="19">
        <v>164</v>
      </c>
      <c r="K66" s="19">
        <v>2.62</v>
      </c>
      <c r="L66" s="19">
        <v>96</v>
      </c>
      <c r="M66" s="19">
        <v>0</v>
      </c>
      <c r="N66" s="19">
        <v>0</v>
      </c>
      <c r="O66" s="19">
        <v>42</v>
      </c>
      <c r="P66" s="19">
        <v>0.58540000000000003</v>
      </c>
      <c r="Q66" s="19">
        <v>0.69569999999999999</v>
      </c>
      <c r="R66" s="19">
        <v>2.29</v>
      </c>
      <c r="S66" s="19">
        <v>12.27</v>
      </c>
      <c r="T66" s="19">
        <v>13.06</v>
      </c>
      <c r="U66" t="s">
        <v>214</v>
      </c>
      <c r="V66">
        <f t="shared" ref="V66:V91" si="24">ROUNDDOWN(H66/10,0)*10</f>
        <v>250</v>
      </c>
      <c r="W66" s="17">
        <f t="shared" ref="W66:W91" si="25">(L66)*((Q66^3.5+0)/1)</f>
        <v>26.961760390176995</v>
      </c>
      <c r="X66" s="17">
        <f t="shared" ref="X66:X91" si="26">_xlfn.RANK.AVG(W66,W:W,1)</f>
        <v>8</v>
      </c>
      <c r="Y66">
        <f t="shared" ref="Y66:Y91" si="27">_xlfn.RANK.AVG(H66,H:H,1)</f>
        <v>82</v>
      </c>
      <c r="Z66">
        <f t="shared" ref="Z66:Z91" si="28">_xlfn.RANK.AVG(F66,F:F,1)</f>
        <v>59.5</v>
      </c>
      <c r="AA66">
        <f t="shared" ref="AA66:AA91" ca="1" si="29">RANDBETWEEN(50,100)/100</f>
        <v>0.86</v>
      </c>
      <c r="AB66">
        <f t="shared" ref="AB66:AB91" si="30">ROUNDUP((1600/(MAX(Y:Y))^1.5)*Y66^1.5,0)</f>
        <v>1392</v>
      </c>
      <c r="AC66">
        <f t="shared" ref="AC66:AC91" si="31">ROUNDUP((1000/(MAX(X:X))^1.1)*X66^1.1,0)</f>
        <v>70</v>
      </c>
      <c r="AD66">
        <f t="shared" ref="AD66:AD91" si="32">ROUNDUP(3200*(($F66-16)/(MAX($F:$F)-16))^1.73,0)</f>
        <v>1420</v>
      </c>
      <c r="AE66">
        <f t="shared" ref="AE66:AE91" ca="1" si="33">ROUNDUP((AA66^4)*1000,0)</f>
        <v>548</v>
      </c>
      <c r="AF66">
        <f t="shared" ref="AF66:AF91" si="34">SUM(AB66:AD66)</f>
        <v>2882</v>
      </c>
      <c r="AG66">
        <f t="shared" ref="AG66:AG91" ca="1" si="35">SUM(AB66:AE66)</f>
        <v>3430</v>
      </c>
    </row>
    <row r="67" spans="1:33">
      <c r="A67" s="6">
        <v>62</v>
      </c>
      <c r="B67" s="6" t="s">
        <v>305</v>
      </c>
      <c r="C67" s="19" t="s">
        <v>69</v>
      </c>
      <c r="D67" s="19" t="s">
        <v>19</v>
      </c>
      <c r="E67" s="19" t="s">
        <v>20</v>
      </c>
      <c r="F67" s="79">
        <v>21</v>
      </c>
      <c r="G67" s="19" t="s">
        <v>202</v>
      </c>
      <c r="H67" s="17">
        <v>240</v>
      </c>
      <c r="I67" s="17">
        <v>3028</v>
      </c>
      <c r="J67" s="17">
        <v>299</v>
      </c>
      <c r="K67" s="17">
        <v>4.9800000000000004</v>
      </c>
      <c r="L67" s="17">
        <v>171</v>
      </c>
      <c r="M67" s="17">
        <v>0</v>
      </c>
      <c r="N67" s="17">
        <v>0</v>
      </c>
      <c r="O67" s="17">
        <v>45</v>
      </c>
      <c r="P67" s="17">
        <v>0.57190000000000007</v>
      </c>
      <c r="Q67" s="17">
        <v>0.79170000000000007</v>
      </c>
      <c r="R67" s="17">
        <v>3.8</v>
      </c>
      <c r="S67" s="17">
        <v>11.74</v>
      </c>
      <c r="T67" s="17">
        <v>13.21</v>
      </c>
      <c r="U67" t="s">
        <v>272</v>
      </c>
      <c r="V67">
        <f t="shared" si="24"/>
        <v>240</v>
      </c>
      <c r="W67" s="17">
        <f t="shared" si="25"/>
        <v>75.501984651629598</v>
      </c>
      <c r="X67" s="17">
        <f t="shared" si="26"/>
        <v>32</v>
      </c>
      <c r="Y67">
        <f t="shared" si="27"/>
        <v>72</v>
      </c>
      <c r="Z67">
        <f t="shared" si="28"/>
        <v>59.5</v>
      </c>
      <c r="AA67">
        <f t="shared" ca="1" si="29"/>
        <v>0.5</v>
      </c>
      <c r="AB67">
        <f t="shared" si="30"/>
        <v>1145</v>
      </c>
      <c r="AC67">
        <f t="shared" si="31"/>
        <v>321</v>
      </c>
      <c r="AD67">
        <f t="shared" si="32"/>
        <v>1420</v>
      </c>
      <c r="AE67">
        <f t="shared" ca="1" si="33"/>
        <v>63</v>
      </c>
      <c r="AF67">
        <f t="shared" si="34"/>
        <v>2886</v>
      </c>
      <c r="AG67">
        <f t="shared" ca="1" si="35"/>
        <v>2949</v>
      </c>
    </row>
    <row r="68" spans="1:33">
      <c r="A68" s="6">
        <v>67</v>
      </c>
      <c r="B68" s="6" t="s">
        <v>305</v>
      </c>
      <c r="C68" s="19" t="s">
        <v>69</v>
      </c>
      <c r="D68" s="19" t="s">
        <v>19</v>
      </c>
      <c r="E68" s="19" t="s">
        <v>20</v>
      </c>
      <c r="F68" s="79">
        <v>22</v>
      </c>
      <c r="G68" s="19" t="s">
        <v>72</v>
      </c>
      <c r="H68" s="19">
        <v>214</v>
      </c>
      <c r="I68" s="19">
        <v>17076</v>
      </c>
      <c r="J68" s="19">
        <v>1102</v>
      </c>
      <c r="K68" s="19">
        <v>20.6</v>
      </c>
      <c r="L68" s="19">
        <v>1051</v>
      </c>
      <c r="M68" s="19">
        <v>0</v>
      </c>
      <c r="N68" s="19">
        <v>0</v>
      </c>
      <c r="O68" s="19">
        <v>16</v>
      </c>
      <c r="P68" s="19">
        <v>0.95369999999999999</v>
      </c>
      <c r="Q68" s="19">
        <v>0.96870000000000001</v>
      </c>
      <c r="R68" s="19">
        <v>65.69</v>
      </c>
      <c r="S68" s="19">
        <v>13.94</v>
      </c>
      <c r="T68" s="19">
        <v>13.99</v>
      </c>
      <c r="U68" t="s">
        <v>243</v>
      </c>
      <c r="V68">
        <f t="shared" si="24"/>
        <v>210</v>
      </c>
      <c r="W68" s="17">
        <f t="shared" si="25"/>
        <v>940.29746464396885</v>
      </c>
      <c r="X68" s="17">
        <f t="shared" si="26"/>
        <v>90</v>
      </c>
      <c r="Y68">
        <f t="shared" si="27"/>
        <v>36</v>
      </c>
      <c r="Z68">
        <f t="shared" si="28"/>
        <v>72</v>
      </c>
      <c r="AA68">
        <f t="shared" ca="1" si="29"/>
        <v>0.71</v>
      </c>
      <c r="AB68">
        <f t="shared" si="30"/>
        <v>405</v>
      </c>
      <c r="AC68">
        <f t="shared" si="31"/>
        <v>1000</v>
      </c>
      <c r="AD68">
        <f t="shared" si="32"/>
        <v>1946</v>
      </c>
      <c r="AE68">
        <f t="shared" ca="1" si="33"/>
        <v>255</v>
      </c>
      <c r="AF68">
        <f t="shared" si="34"/>
        <v>3351</v>
      </c>
      <c r="AG68">
        <f t="shared" ca="1" si="35"/>
        <v>3606</v>
      </c>
    </row>
    <row r="69" spans="1:33">
      <c r="A69" s="6">
        <v>74</v>
      </c>
      <c r="B69" s="6" t="s">
        <v>305</v>
      </c>
      <c r="C69" s="19" t="s">
        <v>69</v>
      </c>
      <c r="D69" s="19" t="s">
        <v>19</v>
      </c>
      <c r="E69" s="19" t="s">
        <v>20</v>
      </c>
      <c r="F69" s="79">
        <v>22</v>
      </c>
      <c r="G69" s="19" t="s">
        <v>70</v>
      </c>
      <c r="H69" s="19">
        <v>246</v>
      </c>
      <c r="I69" s="19">
        <v>2873</v>
      </c>
      <c r="J69" s="19">
        <v>248</v>
      </c>
      <c r="K69" s="19">
        <v>4.03</v>
      </c>
      <c r="L69" s="19">
        <v>150</v>
      </c>
      <c r="M69" s="19">
        <v>0</v>
      </c>
      <c r="N69" s="19">
        <v>0</v>
      </c>
      <c r="O69" s="19">
        <v>85</v>
      </c>
      <c r="P69" s="19">
        <v>0.6048</v>
      </c>
      <c r="Q69" s="19">
        <v>0.62760000000000005</v>
      </c>
      <c r="R69" s="19">
        <v>1.76</v>
      </c>
      <c r="S69" s="19">
        <v>12.27</v>
      </c>
      <c r="T69" s="19">
        <v>12.26</v>
      </c>
      <c r="U69" t="s">
        <v>71</v>
      </c>
      <c r="V69">
        <f t="shared" si="24"/>
        <v>240</v>
      </c>
      <c r="W69" s="17">
        <f t="shared" si="25"/>
        <v>29.375247285681262</v>
      </c>
      <c r="X69" s="17">
        <f t="shared" si="26"/>
        <v>10</v>
      </c>
      <c r="Y69">
        <f t="shared" si="27"/>
        <v>79</v>
      </c>
      <c r="Z69">
        <f t="shared" si="28"/>
        <v>72</v>
      </c>
      <c r="AA69">
        <f t="shared" ca="1" si="29"/>
        <v>0.61</v>
      </c>
      <c r="AB69">
        <f t="shared" si="30"/>
        <v>1316</v>
      </c>
      <c r="AC69">
        <f t="shared" si="31"/>
        <v>90</v>
      </c>
      <c r="AD69">
        <f t="shared" si="32"/>
        <v>1946</v>
      </c>
      <c r="AE69">
        <f t="shared" ca="1" si="33"/>
        <v>139</v>
      </c>
      <c r="AF69">
        <f t="shared" si="34"/>
        <v>3352</v>
      </c>
      <c r="AG69">
        <f t="shared" ca="1" si="35"/>
        <v>3491</v>
      </c>
    </row>
    <row r="70" spans="1:33">
      <c r="A70" s="6">
        <v>68</v>
      </c>
      <c r="B70" s="6" t="s">
        <v>318</v>
      </c>
      <c r="C70" s="19" t="s">
        <v>283</v>
      </c>
      <c r="D70" s="19" t="s">
        <v>19</v>
      </c>
      <c r="E70" s="19" t="s">
        <v>20</v>
      </c>
      <c r="F70" s="79">
        <v>22</v>
      </c>
      <c r="G70" s="19" t="s">
        <v>151</v>
      </c>
      <c r="H70" s="19">
        <v>220</v>
      </c>
      <c r="I70" s="19">
        <v>8500</v>
      </c>
      <c r="J70" s="19">
        <v>563</v>
      </c>
      <c r="K70" s="19">
        <v>10.24</v>
      </c>
      <c r="L70" s="19">
        <v>522</v>
      </c>
      <c r="M70" s="19">
        <v>0</v>
      </c>
      <c r="N70" s="19">
        <v>0</v>
      </c>
      <c r="O70" s="19">
        <v>20</v>
      </c>
      <c r="P70" s="19">
        <v>0.92720000000000002</v>
      </c>
      <c r="Q70" s="19">
        <v>0.95600000000000007</v>
      </c>
      <c r="R70" s="19">
        <v>26.1</v>
      </c>
      <c r="S70" s="19">
        <v>14.04</v>
      </c>
      <c r="T70" s="19">
        <v>14.24</v>
      </c>
      <c r="U70" t="s">
        <v>232</v>
      </c>
      <c r="V70">
        <f t="shared" si="24"/>
        <v>220</v>
      </c>
      <c r="W70" s="17">
        <f t="shared" si="25"/>
        <v>445.93660788236957</v>
      </c>
      <c r="X70" s="17">
        <f t="shared" si="26"/>
        <v>83</v>
      </c>
      <c r="Y70">
        <f t="shared" si="27"/>
        <v>44</v>
      </c>
      <c r="Z70">
        <f t="shared" si="28"/>
        <v>72</v>
      </c>
      <c r="AA70">
        <f t="shared" ca="1" si="29"/>
        <v>0.53</v>
      </c>
      <c r="AB70">
        <f t="shared" si="30"/>
        <v>547</v>
      </c>
      <c r="AC70">
        <f t="shared" si="31"/>
        <v>915</v>
      </c>
      <c r="AD70">
        <f t="shared" si="32"/>
        <v>1946</v>
      </c>
      <c r="AE70">
        <f t="shared" ca="1" si="33"/>
        <v>79</v>
      </c>
      <c r="AF70">
        <f t="shared" si="34"/>
        <v>3408</v>
      </c>
      <c r="AG70">
        <f t="shared" ca="1" si="35"/>
        <v>3487</v>
      </c>
    </row>
    <row r="71" spans="1:33">
      <c r="A71" s="6">
        <v>69</v>
      </c>
      <c r="B71" s="6" t="s">
        <v>319</v>
      </c>
      <c r="C71" s="19" t="s">
        <v>110</v>
      </c>
      <c r="D71" s="19" t="s">
        <v>19</v>
      </c>
      <c r="E71" s="19" t="s">
        <v>20</v>
      </c>
      <c r="F71" s="79">
        <v>22</v>
      </c>
      <c r="G71" s="19" t="s">
        <v>112</v>
      </c>
      <c r="H71" s="19">
        <v>220</v>
      </c>
      <c r="I71" s="19">
        <v>15232</v>
      </c>
      <c r="J71" s="19">
        <v>1066</v>
      </c>
      <c r="K71" s="19">
        <v>19.38</v>
      </c>
      <c r="L71" s="19">
        <v>882</v>
      </c>
      <c r="M71" s="19">
        <v>0</v>
      </c>
      <c r="N71" s="19">
        <v>0</v>
      </c>
      <c r="O71" s="19">
        <v>134</v>
      </c>
      <c r="P71" s="19">
        <v>0.82740000000000002</v>
      </c>
      <c r="Q71" s="19">
        <v>0.85050000000000003</v>
      </c>
      <c r="R71" s="19">
        <v>6.58</v>
      </c>
      <c r="S71" s="19">
        <v>13.29</v>
      </c>
      <c r="T71" s="19">
        <v>13.42</v>
      </c>
      <c r="U71" t="s">
        <v>215</v>
      </c>
      <c r="V71">
        <f t="shared" si="24"/>
        <v>220</v>
      </c>
      <c r="W71" s="17">
        <f t="shared" si="25"/>
        <v>500.41313187039765</v>
      </c>
      <c r="X71" s="17">
        <f t="shared" si="26"/>
        <v>86</v>
      </c>
      <c r="Y71">
        <f t="shared" si="27"/>
        <v>44</v>
      </c>
      <c r="Z71">
        <f t="shared" si="28"/>
        <v>72</v>
      </c>
      <c r="AA71">
        <f t="shared" ca="1" si="29"/>
        <v>0.57999999999999996</v>
      </c>
      <c r="AB71">
        <f t="shared" si="30"/>
        <v>547</v>
      </c>
      <c r="AC71">
        <f t="shared" si="31"/>
        <v>952</v>
      </c>
      <c r="AD71">
        <f t="shared" si="32"/>
        <v>1946</v>
      </c>
      <c r="AE71">
        <f t="shared" ca="1" si="33"/>
        <v>114</v>
      </c>
      <c r="AF71">
        <f t="shared" si="34"/>
        <v>3445</v>
      </c>
      <c r="AG71">
        <f t="shared" ca="1" si="35"/>
        <v>3559</v>
      </c>
    </row>
    <row r="72" spans="1:33">
      <c r="A72" s="6">
        <v>71</v>
      </c>
      <c r="B72" s="6" t="s">
        <v>315</v>
      </c>
      <c r="C72" s="19" t="s">
        <v>283</v>
      </c>
      <c r="D72" s="19" t="s">
        <v>19</v>
      </c>
      <c r="E72" s="19" t="s">
        <v>20</v>
      </c>
      <c r="F72" s="79">
        <v>22</v>
      </c>
      <c r="G72" s="19" t="s">
        <v>150</v>
      </c>
      <c r="H72" s="19">
        <v>230</v>
      </c>
      <c r="I72" s="19">
        <v>8438</v>
      </c>
      <c r="J72" s="19">
        <v>645</v>
      </c>
      <c r="K72" s="19">
        <v>11.22</v>
      </c>
      <c r="L72" s="19">
        <v>489</v>
      </c>
      <c r="M72" s="19">
        <v>0</v>
      </c>
      <c r="N72" s="19">
        <v>0</v>
      </c>
      <c r="O72" s="19">
        <v>129</v>
      </c>
      <c r="P72" s="19">
        <v>0.7581</v>
      </c>
      <c r="Q72" s="19">
        <v>0.78370000000000006</v>
      </c>
      <c r="R72" s="19">
        <v>3.79</v>
      </c>
      <c r="S72" s="19">
        <v>12.64</v>
      </c>
      <c r="T72" s="19">
        <v>12.72</v>
      </c>
      <c r="U72" t="s">
        <v>238</v>
      </c>
      <c r="V72">
        <f t="shared" si="24"/>
        <v>230</v>
      </c>
      <c r="W72" s="17">
        <f t="shared" si="25"/>
        <v>208.36910331521318</v>
      </c>
      <c r="X72" s="17">
        <f t="shared" si="26"/>
        <v>59</v>
      </c>
      <c r="Y72">
        <f t="shared" si="27"/>
        <v>60</v>
      </c>
      <c r="Z72">
        <f t="shared" si="28"/>
        <v>72</v>
      </c>
      <c r="AA72">
        <f t="shared" ca="1" si="29"/>
        <v>0.9</v>
      </c>
      <c r="AB72">
        <f t="shared" si="30"/>
        <v>871</v>
      </c>
      <c r="AC72">
        <f t="shared" si="31"/>
        <v>629</v>
      </c>
      <c r="AD72">
        <f t="shared" si="32"/>
        <v>1946</v>
      </c>
      <c r="AE72">
        <f t="shared" ca="1" si="33"/>
        <v>657</v>
      </c>
      <c r="AF72">
        <f t="shared" si="34"/>
        <v>3446</v>
      </c>
      <c r="AG72">
        <f t="shared" ca="1" si="35"/>
        <v>4103</v>
      </c>
    </row>
    <row r="73" spans="1:33">
      <c r="A73" s="6">
        <v>75</v>
      </c>
      <c r="B73" s="6" t="s">
        <v>310</v>
      </c>
      <c r="C73" s="19" t="s">
        <v>283</v>
      </c>
      <c r="D73" s="19" t="s">
        <v>19</v>
      </c>
      <c r="E73" s="19" t="s">
        <v>20</v>
      </c>
      <c r="F73" s="79">
        <v>22</v>
      </c>
      <c r="G73" s="19" t="s">
        <v>270</v>
      </c>
      <c r="H73" s="19">
        <v>250</v>
      </c>
      <c r="I73" s="19">
        <v>2264</v>
      </c>
      <c r="J73" s="19">
        <v>212</v>
      </c>
      <c r="K73" s="19">
        <v>3.39</v>
      </c>
      <c r="L73" s="19">
        <v>114</v>
      </c>
      <c r="M73" s="19">
        <v>0</v>
      </c>
      <c r="N73" s="19">
        <v>0</v>
      </c>
      <c r="O73" s="19">
        <v>49</v>
      </c>
      <c r="P73" s="19">
        <v>0.53770000000000007</v>
      </c>
      <c r="Q73" s="19">
        <v>0.69940000000000002</v>
      </c>
      <c r="R73" s="19">
        <v>2.33</v>
      </c>
      <c r="S73" s="19">
        <v>11.39</v>
      </c>
      <c r="T73" s="19">
        <v>13.44</v>
      </c>
      <c r="U73" t="s">
        <v>271</v>
      </c>
      <c r="V73">
        <f t="shared" si="24"/>
        <v>250</v>
      </c>
      <c r="W73" s="17">
        <f t="shared" si="25"/>
        <v>32.617040227016382</v>
      </c>
      <c r="X73" s="17">
        <f t="shared" si="26"/>
        <v>12</v>
      </c>
      <c r="Y73">
        <f t="shared" si="27"/>
        <v>82</v>
      </c>
      <c r="Z73">
        <f t="shared" si="28"/>
        <v>72</v>
      </c>
      <c r="AA73">
        <f t="shared" ca="1" si="29"/>
        <v>0.91</v>
      </c>
      <c r="AB73">
        <f t="shared" si="30"/>
        <v>1392</v>
      </c>
      <c r="AC73">
        <f t="shared" si="31"/>
        <v>110</v>
      </c>
      <c r="AD73">
        <f t="shared" si="32"/>
        <v>1946</v>
      </c>
      <c r="AE73">
        <f t="shared" ca="1" si="33"/>
        <v>686</v>
      </c>
      <c r="AF73">
        <f t="shared" si="34"/>
        <v>3448</v>
      </c>
      <c r="AG73">
        <f t="shared" ca="1" si="35"/>
        <v>4134</v>
      </c>
    </row>
    <row r="74" spans="1:33">
      <c r="A74" s="6">
        <v>73</v>
      </c>
      <c r="B74" s="6" t="s">
        <v>312</v>
      </c>
      <c r="C74" s="19" t="s">
        <v>228</v>
      </c>
      <c r="D74" s="19" t="s">
        <v>19</v>
      </c>
      <c r="E74" s="19" t="s">
        <v>20</v>
      </c>
      <c r="F74" s="79">
        <v>22</v>
      </c>
      <c r="G74" s="19" t="s">
        <v>152</v>
      </c>
      <c r="H74" s="19">
        <v>240</v>
      </c>
      <c r="I74" s="19">
        <v>3492</v>
      </c>
      <c r="J74" s="19">
        <v>265</v>
      </c>
      <c r="K74" s="19">
        <v>4.42</v>
      </c>
      <c r="L74" s="19">
        <v>199</v>
      </c>
      <c r="M74" s="19">
        <v>0</v>
      </c>
      <c r="N74" s="19">
        <v>0</v>
      </c>
      <c r="O74" s="19">
        <v>47</v>
      </c>
      <c r="P74" s="19">
        <v>0.75090000000000001</v>
      </c>
      <c r="Q74" s="19">
        <v>0.80570000000000008</v>
      </c>
      <c r="R74" s="19">
        <v>4.2300000000000004</v>
      </c>
      <c r="S74" s="19">
        <v>13.28</v>
      </c>
      <c r="T74" s="19">
        <v>13.67</v>
      </c>
      <c r="U74" t="s">
        <v>274</v>
      </c>
      <c r="V74">
        <f t="shared" si="24"/>
        <v>240</v>
      </c>
      <c r="W74" s="17">
        <f t="shared" si="25"/>
        <v>93.424299283035523</v>
      </c>
      <c r="X74" s="17">
        <f t="shared" si="26"/>
        <v>38</v>
      </c>
      <c r="Y74">
        <f t="shared" si="27"/>
        <v>72</v>
      </c>
      <c r="Z74">
        <f t="shared" si="28"/>
        <v>72</v>
      </c>
      <c r="AA74">
        <f t="shared" ca="1" si="29"/>
        <v>0.95</v>
      </c>
      <c r="AB74">
        <f t="shared" si="30"/>
        <v>1145</v>
      </c>
      <c r="AC74">
        <f t="shared" si="31"/>
        <v>388</v>
      </c>
      <c r="AD74">
        <f t="shared" si="32"/>
        <v>1946</v>
      </c>
      <c r="AE74">
        <f t="shared" ca="1" si="33"/>
        <v>815</v>
      </c>
      <c r="AF74">
        <f t="shared" si="34"/>
        <v>3479</v>
      </c>
      <c r="AG74">
        <f t="shared" ca="1" si="35"/>
        <v>4294</v>
      </c>
    </row>
    <row r="75" spans="1:33">
      <c r="A75" s="6">
        <v>72</v>
      </c>
      <c r="B75" s="6" t="s">
        <v>312</v>
      </c>
      <c r="C75" s="19" t="s">
        <v>27</v>
      </c>
      <c r="D75" s="19" t="s">
        <v>19</v>
      </c>
      <c r="E75" s="19" t="s">
        <v>20</v>
      </c>
      <c r="F75" s="79">
        <v>22</v>
      </c>
      <c r="G75" s="19" t="s">
        <v>30</v>
      </c>
      <c r="H75" s="19">
        <v>230</v>
      </c>
      <c r="I75" s="19">
        <v>14341</v>
      </c>
      <c r="J75" s="19">
        <v>1156</v>
      </c>
      <c r="K75" s="19">
        <v>20.100000000000001</v>
      </c>
      <c r="L75" s="19">
        <v>780</v>
      </c>
      <c r="M75" s="19">
        <v>0</v>
      </c>
      <c r="N75" s="19">
        <v>0</v>
      </c>
      <c r="O75" s="19">
        <v>318</v>
      </c>
      <c r="P75" s="19">
        <v>0.67470000000000008</v>
      </c>
      <c r="Q75" s="19">
        <v>0.69520000000000004</v>
      </c>
      <c r="R75" s="19">
        <v>2.4500000000000002</v>
      </c>
      <c r="S75" s="19">
        <v>11.92</v>
      </c>
      <c r="T75" s="19">
        <v>12.11</v>
      </c>
      <c r="U75" t="s">
        <v>31</v>
      </c>
      <c r="V75">
        <f t="shared" si="24"/>
        <v>230</v>
      </c>
      <c r="W75" s="17">
        <f t="shared" si="25"/>
        <v>218.51375228517676</v>
      </c>
      <c r="X75" s="17">
        <f t="shared" si="26"/>
        <v>62</v>
      </c>
      <c r="Y75">
        <f t="shared" si="27"/>
        <v>60</v>
      </c>
      <c r="Z75">
        <f t="shared" si="28"/>
        <v>72</v>
      </c>
      <c r="AA75">
        <f t="shared" ca="1" si="29"/>
        <v>0.6</v>
      </c>
      <c r="AB75">
        <f t="shared" si="30"/>
        <v>871</v>
      </c>
      <c r="AC75">
        <f t="shared" si="31"/>
        <v>664</v>
      </c>
      <c r="AD75">
        <f t="shared" si="32"/>
        <v>1946</v>
      </c>
      <c r="AE75">
        <f t="shared" ca="1" si="33"/>
        <v>130</v>
      </c>
      <c r="AF75">
        <f t="shared" si="34"/>
        <v>3481</v>
      </c>
      <c r="AG75">
        <f t="shared" ca="1" si="35"/>
        <v>3611</v>
      </c>
    </row>
    <row r="76" spans="1:33">
      <c r="A76" s="6">
        <v>77</v>
      </c>
      <c r="B76" s="6" t="s">
        <v>312</v>
      </c>
      <c r="C76" s="19" t="s">
        <v>221</v>
      </c>
      <c r="D76" s="19" t="s">
        <v>19</v>
      </c>
      <c r="E76" s="19" t="s">
        <v>20</v>
      </c>
      <c r="F76" s="79">
        <v>22</v>
      </c>
      <c r="G76" s="19" t="s">
        <v>233</v>
      </c>
      <c r="H76" s="19">
        <v>260</v>
      </c>
      <c r="I76" s="19">
        <v>1680</v>
      </c>
      <c r="J76" s="19">
        <v>162</v>
      </c>
      <c r="K76" s="19">
        <v>2.4900000000000002</v>
      </c>
      <c r="L76" s="19">
        <v>90</v>
      </c>
      <c r="M76" s="19">
        <v>0</v>
      </c>
      <c r="N76" s="19">
        <v>0</v>
      </c>
      <c r="O76" s="19">
        <v>50</v>
      </c>
      <c r="P76" s="19">
        <v>0.55559999999999998</v>
      </c>
      <c r="Q76" s="19">
        <v>0.62940000000000007</v>
      </c>
      <c r="R76" s="19">
        <v>1.8</v>
      </c>
      <c r="S76" s="19">
        <v>11.97</v>
      </c>
      <c r="T76" s="19">
        <v>12.63</v>
      </c>
      <c r="U76" t="s">
        <v>234</v>
      </c>
      <c r="V76">
        <f t="shared" si="24"/>
        <v>260</v>
      </c>
      <c r="W76" s="17">
        <f t="shared" si="25"/>
        <v>17.802709059985521</v>
      </c>
      <c r="X76" s="17">
        <f t="shared" si="26"/>
        <v>3</v>
      </c>
      <c r="Y76">
        <f t="shared" si="27"/>
        <v>87.5</v>
      </c>
      <c r="Z76">
        <f t="shared" si="28"/>
        <v>72</v>
      </c>
      <c r="AA76">
        <f t="shared" ca="1" si="29"/>
        <v>0.84</v>
      </c>
      <c r="AB76">
        <f t="shared" si="30"/>
        <v>1534</v>
      </c>
      <c r="AC76">
        <f t="shared" si="31"/>
        <v>24</v>
      </c>
      <c r="AD76">
        <f t="shared" si="32"/>
        <v>1946</v>
      </c>
      <c r="AE76">
        <f t="shared" ca="1" si="33"/>
        <v>498</v>
      </c>
      <c r="AF76">
        <f t="shared" si="34"/>
        <v>3504</v>
      </c>
      <c r="AG76">
        <f t="shared" ca="1" si="35"/>
        <v>4002</v>
      </c>
    </row>
    <row r="77" spans="1:33">
      <c r="A77" s="6">
        <v>76</v>
      </c>
      <c r="B77" s="6" t="s">
        <v>312</v>
      </c>
      <c r="C77" s="19" t="s">
        <v>221</v>
      </c>
      <c r="D77" s="19" t="s">
        <v>19</v>
      </c>
      <c r="E77" s="19" t="s">
        <v>20</v>
      </c>
      <c r="F77" s="79">
        <v>22</v>
      </c>
      <c r="G77" s="19" t="s">
        <v>176</v>
      </c>
      <c r="H77" s="17">
        <v>250</v>
      </c>
      <c r="I77" s="17">
        <v>2422</v>
      </c>
      <c r="J77" s="17">
        <v>188</v>
      </c>
      <c r="K77" s="17">
        <v>3.01</v>
      </c>
      <c r="L77" s="17">
        <v>126</v>
      </c>
      <c r="M77" s="17">
        <v>0</v>
      </c>
      <c r="N77" s="17">
        <v>0</v>
      </c>
      <c r="O77" s="17">
        <v>37</v>
      </c>
      <c r="P77" s="17">
        <v>0.67020000000000002</v>
      </c>
      <c r="Q77" s="17">
        <v>0.74560000000000004</v>
      </c>
      <c r="R77" s="17">
        <v>3.41</v>
      </c>
      <c r="S77" s="17">
        <v>13.71</v>
      </c>
      <c r="T77" s="17">
        <v>14.19</v>
      </c>
      <c r="U77" t="s">
        <v>288</v>
      </c>
      <c r="V77">
        <f t="shared" si="24"/>
        <v>250</v>
      </c>
      <c r="W77" s="17">
        <f t="shared" si="25"/>
        <v>45.096329271204588</v>
      </c>
      <c r="X77" s="17">
        <f t="shared" si="26"/>
        <v>21</v>
      </c>
      <c r="Y77">
        <f t="shared" si="27"/>
        <v>82</v>
      </c>
      <c r="Z77">
        <f t="shared" si="28"/>
        <v>72</v>
      </c>
      <c r="AA77">
        <f t="shared" ca="1" si="29"/>
        <v>0.61</v>
      </c>
      <c r="AB77">
        <f t="shared" si="30"/>
        <v>1392</v>
      </c>
      <c r="AC77">
        <f t="shared" si="31"/>
        <v>202</v>
      </c>
      <c r="AD77">
        <f t="shared" si="32"/>
        <v>1946</v>
      </c>
      <c r="AE77">
        <f t="shared" ca="1" si="33"/>
        <v>139</v>
      </c>
      <c r="AF77">
        <f t="shared" si="34"/>
        <v>3540</v>
      </c>
      <c r="AG77">
        <f t="shared" ca="1" si="35"/>
        <v>3679</v>
      </c>
    </row>
    <row r="78" spans="1:33">
      <c r="A78" s="6">
        <v>70</v>
      </c>
      <c r="B78" s="6" t="s">
        <v>308</v>
      </c>
      <c r="C78" s="19" t="s">
        <v>216</v>
      </c>
      <c r="D78" s="19" t="s">
        <v>19</v>
      </c>
      <c r="E78" s="19" t="s">
        <v>20</v>
      </c>
      <c r="F78" s="79">
        <v>22</v>
      </c>
      <c r="G78" s="19" t="s">
        <v>62</v>
      </c>
      <c r="H78" s="19">
        <v>230</v>
      </c>
      <c r="I78" s="19">
        <v>5789</v>
      </c>
      <c r="J78" s="19">
        <v>400</v>
      </c>
      <c r="K78" s="19">
        <v>6.96</v>
      </c>
      <c r="L78" s="19">
        <v>344</v>
      </c>
      <c r="M78" s="19">
        <v>0</v>
      </c>
      <c r="N78" s="19">
        <v>0</v>
      </c>
      <c r="O78" s="19">
        <v>26</v>
      </c>
      <c r="P78" s="19">
        <v>0.86</v>
      </c>
      <c r="Q78" s="19">
        <v>0.9173</v>
      </c>
      <c r="R78" s="19">
        <v>13.23</v>
      </c>
      <c r="S78" s="19">
        <v>14.23</v>
      </c>
      <c r="T78" s="19">
        <v>14.61</v>
      </c>
      <c r="U78" t="s">
        <v>63</v>
      </c>
      <c r="V78">
        <f t="shared" si="24"/>
        <v>230</v>
      </c>
      <c r="W78" s="17">
        <f t="shared" si="25"/>
        <v>254.30114748365239</v>
      </c>
      <c r="X78" s="17">
        <f t="shared" si="26"/>
        <v>68</v>
      </c>
      <c r="Y78">
        <f t="shared" si="27"/>
        <v>60</v>
      </c>
      <c r="Z78">
        <f t="shared" si="28"/>
        <v>72</v>
      </c>
      <c r="AA78">
        <f t="shared" ca="1" si="29"/>
        <v>0.74</v>
      </c>
      <c r="AB78">
        <f t="shared" si="30"/>
        <v>871</v>
      </c>
      <c r="AC78">
        <f t="shared" si="31"/>
        <v>735</v>
      </c>
      <c r="AD78">
        <f t="shared" si="32"/>
        <v>1946</v>
      </c>
      <c r="AE78">
        <f t="shared" ca="1" si="33"/>
        <v>300</v>
      </c>
      <c r="AF78">
        <f t="shared" si="34"/>
        <v>3552</v>
      </c>
      <c r="AG78">
        <f t="shared" ca="1" si="35"/>
        <v>3852</v>
      </c>
    </row>
    <row r="79" spans="1:33">
      <c r="A79" s="6">
        <v>78</v>
      </c>
      <c r="B79" s="6" t="s">
        <v>305</v>
      </c>
      <c r="C79" s="19" t="s">
        <v>69</v>
      </c>
      <c r="D79" s="19" t="s">
        <v>19</v>
      </c>
      <c r="E79" s="19" t="s">
        <v>20</v>
      </c>
      <c r="F79" s="79">
        <v>23</v>
      </c>
      <c r="G79" s="19" t="s">
        <v>181</v>
      </c>
      <c r="H79" s="19">
        <v>220</v>
      </c>
      <c r="I79" s="19">
        <v>24918</v>
      </c>
      <c r="J79" s="19">
        <v>1745</v>
      </c>
      <c r="K79" s="19">
        <v>31.73</v>
      </c>
      <c r="L79" s="19">
        <v>1491</v>
      </c>
      <c r="M79" s="19">
        <v>0</v>
      </c>
      <c r="N79" s="19">
        <v>0</v>
      </c>
      <c r="O79" s="19">
        <v>186</v>
      </c>
      <c r="P79" s="19">
        <v>0.85440000000000005</v>
      </c>
      <c r="Q79" s="19">
        <v>0.87240000000000006</v>
      </c>
      <c r="R79" s="19">
        <v>8.02</v>
      </c>
      <c r="S79" s="19">
        <v>13.27</v>
      </c>
      <c r="T79" s="19">
        <v>13.33</v>
      </c>
      <c r="U79" t="s">
        <v>276</v>
      </c>
      <c r="V79">
        <f t="shared" si="24"/>
        <v>220</v>
      </c>
      <c r="W79" s="17">
        <f t="shared" si="25"/>
        <v>924.66079159998651</v>
      </c>
      <c r="X79" s="17">
        <f t="shared" si="26"/>
        <v>89</v>
      </c>
      <c r="Y79">
        <f t="shared" si="27"/>
        <v>44</v>
      </c>
      <c r="Z79">
        <f t="shared" si="28"/>
        <v>82</v>
      </c>
      <c r="AA79">
        <f t="shared" ca="1" si="29"/>
        <v>0.73</v>
      </c>
      <c r="AB79">
        <f t="shared" si="30"/>
        <v>547</v>
      </c>
      <c r="AC79">
        <f t="shared" si="31"/>
        <v>988</v>
      </c>
      <c r="AD79">
        <f t="shared" si="32"/>
        <v>2540</v>
      </c>
      <c r="AE79">
        <f t="shared" ca="1" si="33"/>
        <v>284</v>
      </c>
      <c r="AF79">
        <f t="shared" si="34"/>
        <v>4075</v>
      </c>
      <c r="AG79">
        <f t="shared" ca="1" si="35"/>
        <v>4359</v>
      </c>
    </row>
    <row r="80" spans="1:33">
      <c r="A80" s="6">
        <v>85</v>
      </c>
      <c r="B80" s="6" t="s">
        <v>307</v>
      </c>
      <c r="C80" s="19" t="s">
        <v>262</v>
      </c>
      <c r="D80" s="19" t="s">
        <v>19</v>
      </c>
      <c r="E80" s="19" t="s">
        <v>20</v>
      </c>
      <c r="F80" s="79">
        <v>23</v>
      </c>
      <c r="G80" s="19" t="s">
        <v>263</v>
      </c>
      <c r="H80" s="19">
        <v>260</v>
      </c>
      <c r="I80" s="19">
        <v>2638</v>
      </c>
      <c r="J80" s="19">
        <v>244</v>
      </c>
      <c r="K80" s="19">
        <v>3.75</v>
      </c>
      <c r="L80" s="19">
        <v>138</v>
      </c>
      <c r="M80" s="19">
        <v>0</v>
      </c>
      <c r="N80" s="19">
        <v>0</v>
      </c>
      <c r="O80" s="19">
        <v>73</v>
      </c>
      <c r="P80" s="19">
        <v>0.56559999999999999</v>
      </c>
      <c r="Q80" s="19">
        <v>0.65400000000000003</v>
      </c>
      <c r="R80" s="19">
        <v>1.89</v>
      </c>
      <c r="S80" s="19">
        <v>11.91</v>
      </c>
      <c r="T80" s="19">
        <v>12.79</v>
      </c>
      <c r="U80" t="s">
        <v>264</v>
      </c>
      <c r="V80">
        <f t="shared" si="24"/>
        <v>260</v>
      </c>
      <c r="W80" s="17">
        <f t="shared" si="25"/>
        <v>31.217721764062443</v>
      </c>
      <c r="X80" s="17">
        <f t="shared" si="26"/>
        <v>11</v>
      </c>
      <c r="Y80">
        <f t="shared" si="27"/>
        <v>87.5</v>
      </c>
      <c r="Z80">
        <f t="shared" si="28"/>
        <v>82</v>
      </c>
      <c r="AA80">
        <f t="shared" ca="1" si="29"/>
        <v>0.97</v>
      </c>
      <c r="AB80">
        <f t="shared" si="30"/>
        <v>1534</v>
      </c>
      <c r="AC80">
        <f t="shared" si="31"/>
        <v>100</v>
      </c>
      <c r="AD80">
        <f t="shared" si="32"/>
        <v>2540</v>
      </c>
      <c r="AE80">
        <f t="shared" ca="1" si="33"/>
        <v>886</v>
      </c>
      <c r="AF80">
        <f t="shared" si="34"/>
        <v>4174</v>
      </c>
      <c r="AG80">
        <f t="shared" ca="1" si="35"/>
        <v>5060</v>
      </c>
    </row>
    <row r="81" spans="1:33">
      <c r="A81" s="6">
        <v>86</v>
      </c>
      <c r="B81" s="6" t="s">
        <v>307</v>
      </c>
      <c r="C81" s="19" t="s">
        <v>262</v>
      </c>
      <c r="D81" s="19" t="s">
        <v>19</v>
      </c>
      <c r="E81" s="19" t="s">
        <v>20</v>
      </c>
      <c r="F81" s="79">
        <v>23</v>
      </c>
      <c r="G81" s="19" t="s">
        <v>205</v>
      </c>
      <c r="H81" s="19">
        <v>266</v>
      </c>
      <c r="I81" s="19">
        <v>3063</v>
      </c>
      <c r="J81" s="19">
        <v>320</v>
      </c>
      <c r="K81" s="19">
        <v>4.8100000000000005</v>
      </c>
      <c r="L81" s="19">
        <v>156</v>
      </c>
      <c r="M81" s="19">
        <v>0</v>
      </c>
      <c r="N81" s="19">
        <v>0</v>
      </c>
      <c r="O81" s="19">
        <v>107</v>
      </c>
      <c r="P81" s="19">
        <v>0.48750000000000004</v>
      </c>
      <c r="Q81" s="19">
        <v>0.59089999999999998</v>
      </c>
      <c r="R81" s="19">
        <v>1.46</v>
      </c>
      <c r="S81" s="19">
        <v>10.81</v>
      </c>
      <c r="T81" s="19">
        <v>11.88</v>
      </c>
      <c r="U81" t="s">
        <v>275</v>
      </c>
      <c r="V81">
        <f t="shared" si="24"/>
        <v>260</v>
      </c>
      <c r="W81" s="17">
        <f t="shared" si="25"/>
        <v>24.74135970022294</v>
      </c>
      <c r="X81" s="17">
        <f t="shared" si="26"/>
        <v>7</v>
      </c>
      <c r="Y81">
        <f t="shared" si="27"/>
        <v>90</v>
      </c>
      <c r="Z81">
        <f t="shared" si="28"/>
        <v>82</v>
      </c>
      <c r="AA81">
        <f t="shared" ca="1" si="29"/>
        <v>0.86</v>
      </c>
      <c r="AB81">
        <f t="shared" si="30"/>
        <v>1600</v>
      </c>
      <c r="AC81">
        <f t="shared" si="31"/>
        <v>61</v>
      </c>
      <c r="AD81">
        <f t="shared" si="32"/>
        <v>2540</v>
      </c>
      <c r="AE81">
        <f t="shared" ca="1" si="33"/>
        <v>548</v>
      </c>
      <c r="AF81">
        <f t="shared" si="34"/>
        <v>4201</v>
      </c>
      <c r="AG81">
        <f t="shared" ca="1" si="35"/>
        <v>4749</v>
      </c>
    </row>
    <row r="82" spans="1:33">
      <c r="A82" s="6">
        <v>81</v>
      </c>
      <c r="B82" s="6" t="s">
        <v>312</v>
      </c>
      <c r="C82" s="19" t="s">
        <v>36</v>
      </c>
      <c r="D82" s="19" t="s">
        <v>19</v>
      </c>
      <c r="E82" s="19" t="s">
        <v>20</v>
      </c>
      <c r="F82" s="79">
        <v>23</v>
      </c>
      <c r="G82" s="19" t="s">
        <v>47</v>
      </c>
      <c r="H82" s="19">
        <v>240</v>
      </c>
      <c r="I82" s="19">
        <v>4721</v>
      </c>
      <c r="J82" s="19">
        <v>359</v>
      </c>
      <c r="K82" s="19">
        <v>5.98</v>
      </c>
      <c r="L82" s="19">
        <v>273</v>
      </c>
      <c r="M82" s="19">
        <v>0</v>
      </c>
      <c r="N82" s="19">
        <v>0</v>
      </c>
      <c r="O82" s="19">
        <v>29</v>
      </c>
      <c r="P82" s="19">
        <v>0.76040000000000008</v>
      </c>
      <c r="Q82" s="19">
        <v>0.87220000000000009</v>
      </c>
      <c r="R82" s="19">
        <v>9.41</v>
      </c>
      <c r="S82" s="19">
        <v>13.64</v>
      </c>
      <c r="T82" s="19">
        <v>14.81</v>
      </c>
      <c r="U82" t="s">
        <v>48</v>
      </c>
      <c r="V82">
        <f t="shared" si="24"/>
        <v>240</v>
      </c>
      <c r="W82" s="17">
        <f t="shared" si="25"/>
        <v>169.16828059710357</v>
      </c>
      <c r="X82" s="17">
        <f t="shared" si="26"/>
        <v>51</v>
      </c>
      <c r="Y82">
        <f t="shared" si="27"/>
        <v>72</v>
      </c>
      <c r="Z82">
        <f t="shared" si="28"/>
        <v>82</v>
      </c>
      <c r="AA82">
        <f t="shared" ca="1" si="29"/>
        <v>0.98</v>
      </c>
      <c r="AB82">
        <f t="shared" si="30"/>
        <v>1145</v>
      </c>
      <c r="AC82">
        <f t="shared" si="31"/>
        <v>536</v>
      </c>
      <c r="AD82">
        <f t="shared" si="32"/>
        <v>2540</v>
      </c>
      <c r="AE82">
        <f t="shared" ca="1" si="33"/>
        <v>923</v>
      </c>
      <c r="AF82">
        <f t="shared" si="34"/>
        <v>4221</v>
      </c>
      <c r="AG82">
        <f t="shared" ca="1" si="35"/>
        <v>5144</v>
      </c>
    </row>
    <row r="83" spans="1:33">
      <c r="A83" s="6">
        <v>80</v>
      </c>
      <c r="B83" s="6" t="s">
        <v>308</v>
      </c>
      <c r="C83" s="19" t="s">
        <v>211</v>
      </c>
      <c r="D83" s="19" t="s">
        <v>19</v>
      </c>
      <c r="E83" s="19" t="s">
        <v>20</v>
      </c>
      <c r="F83" s="79">
        <v>23</v>
      </c>
      <c r="G83" s="19" t="s">
        <v>254</v>
      </c>
      <c r="H83" s="19">
        <v>235</v>
      </c>
      <c r="I83" s="19">
        <v>5740</v>
      </c>
      <c r="J83" s="19">
        <v>383</v>
      </c>
      <c r="K83" s="19">
        <v>6.52</v>
      </c>
      <c r="L83" s="19">
        <v>339</v>
      </c>
      <c r="M83" s="19">
        <v>0</v>
      </c>
      <c r="N83" s="19">
        <v>0</v>
      </c>
      <c r="O83" s="19">
        <v>3</v>
      </c>
      <c r="P83" s="19">
        <v>0.8851</v>
      </c>
      <c r="Q83" s="19">
        <v>0.91620000000000001</v>
      </c>
      <c r="R83" s="19">
        <v>113</v>
      </c>
      <c r="S83" s="19">
        <v>15.23</v>
      </c>
      <c r="T83" s="19">
        <v>15.19</v>
      </c>
      <c r="U83" t="s">
        <v>255</v>
      </c>
      <c r="V83">
        <f t="shared" si="24"/>
        <v>230</v>
      </c>
      <c r="W83" s="17">
        <f t="shared" si="25"/>
        <v>249.55467164757616</v>
      </c>
      <c r="X83" s="17">
        <f t="shared" si="26"/>
        <v>67</v>
      </c>
      <c r="Y83">
        <f t="shared" si="27"/>
        <v>66</v>
      </c>
      <c r="Z83">
        <f t="shared" si="28"/>
        <v>82</v>
      </c>
      <c r="AA83">
        <f t="shared" ca="1" si="29"/>
        <v>0.61</v>
      </c>
      <c r="AB83">
        <f t="shared" si="30"/>
        <v>1005</v>
      </c>
      <c r="AC83">
        <f t="shared" si="31"/>
        <v>723</v>
      </c>
      <c r="AD83">
        <f t="shared" si="32"/>
        <v>2540</v>
      </c>
      <c r="AE83">
        <f t="shared" ca="1" si="33"/>
        <v>139</v>
      </c>
      <c r="AF83">
        <f t="shared" si="34"/>
        <v>4268</v>
      </c>
      <c r="AG83">
        <f t="shared" ca="1" si="35"/>
        <v>4407</v>
      </c>
    </row>
    <row r="84" spans="1:33">
      <c r="A84" s="6">
        <v>79</v>
      </c>
      <c r="B84" s="6" t="s">
        <v>320</v>
      </c>
      <c r="C84" s="19" t="s">
        <v>110</v>
      </c>
      <c r="D84" s="19" t="s">
        <v>19</v>
      </c>
      <c r="E84" s="19" t="s">
        <v>20</v>
      </c>
      <c r="F84" s="79">
        <v>23</v>
      </c>
      <c r="G84" s="19" t="s">
        <v>67</v>
      </c>
      <c r="H84" s="19">
        <v>230</v>
      </c>
      <c r="I84" s="19">
        <v>15441</v>
      </c>
      <c r="J84" s="19">
        <v>1124</v>
      </c>
      <c r="K84" s="19">
        <v>19.559999999999999</v>
      </c>
      <c r="L84" s="19">
        <v>876</v>
      </c>
      <c r="M84" s="19">
        <v>0</v>
      </c>
      <c r="N84" s="19">
        <v>0</v>
      </c>
      <c r="O84" s="19">
        <v>178</v>
      </c>
      <c r="P84" s="19">
        <v>0.77940000000000009</v>
      </c>
      <c r="Q84" s="19">
        <v>0.82640000000000002</v>
      </c>
      <c r="R84" s="19">
        <v>4.92</v>
      </c>
      <c r="S84" s="19">
        <v>13.29</v>
      </c>
      <c r="T84" s="19">
        <v>13.66</v>
      </c>
      <c r="U84" t="s">
        <v>68</v>
      </c>
      <c r="V84">
        <f t="shared" si="24"/>
        <v>230</v>
      </c>
      <c r="W84" s="17">
        <f t="shared" si="25"/>
        <v>449.43841054116251</v>
      </c>
      <c r="X84" s="17">
        <f t="shared" si="26"/>
        <v>84</v>
      </c>
      <c r="Y84">
        <f t="shared" si="27"/>
        <v>60</v>
      </c>
      <c r="Z84">
        <f t="shared" si="28"/>
        <v>82</v>
      </c>
      <c r="AA84">
        <f t="shared" ca="1" si="29"/>
        <v>0.5</v>
      </c>
      <c r="AB84">
        <f t="shared" si="30"/>
        <v>871</v>
      </c>
      <c r="AC84">
        <f t="shared" si="31"/>
        <v>927</v>
      </c>
      <c r="AD84">
        <f t="shared" si="32"/>
        <v>2540</v>
      </c>
      <c r="AE84">
        <f t="shared" ca="1" si="33"/>
        <v>63</v>
      </c>
      <c r="AF84">
        <f t="shared" si="34"/>
        <v>4338</v>
      </c>
      <c r="AG84">
        <f t="shared" ca="1" si="35"/>
        <v>4401</v>
      </c>
    </row>
    <row r="85" spans="1:33">
      <c r="A85" s="6">
        <v>84</v>
      </c>
      <c r="B85" s="6" t="s">
        <v>305</v>
      </c>
      <c r="C85" s="19" t="s">
        <v>294</v>
      </c>
      <c r="D85" s="19" t="s">
        <v>19</v>
      </c>
      <c r="E85" s="19" t="s">
        <v>20</v>
      </c>
      <c r="F85" s="79">
        <v>23</v>
      </c>
      <c r="G85" s="19" t="s">
        <v>180</v>
      </c>
      <c r="H85" s="19">
        <v>255</v>
      </c>
      <c r="I85" s="19">
        <v>3564</v>
      </c>
      <c r="J85" s="19">
        <v>307</v>
      </c>
      <c r="K85" s="19">
        <v>4.82</v>
      </c>
      <c r="L85" s="19">
        <v>205</v>
      </c>
      <c r="M85" s="19">
        <v>0</v>
      </c>
      <c r="N85" s="19">
        <v>0</v>
      </c>
      <c r="O85" s="19">
        <v>65</v>
      </c>
      <c r="P85" s="19">
        <v>0.66780000000000006</v>
      </c>
      <c r="Q85" s="19">
        <v>0.75370000000000004</v>
      </c>
      <c r="R85" s="19">
        <v>3.15</v>
      </c>
      <c r="S85" s="19">
        <v>13.06</v>
      </c>
      <c r="T85" s="19">
        <v>13.52</v>
      </c>
      <c r="U85" t="s">
        <v>280</v>
      </c>
      <c r="V85">
        <f t="shared" si="24"/>
        <v>250</v>
      </c>
      <c r="W85" s="17">
        <f t="shared" si="25"/>
        <v>76.198893430210859</v>
      </c>
      <c r="X85" s="17">
        <f t="shared" si="26"/>
        <v>33</v>
      </c>
      <c r="Y85">
        <f t="shared" si="27"/>
        <v>85</v>
      </c>
      <c r="Z85">
        <f t="shared" si="28"/>
        <v>82</v>
      </c>
      <c r="AA85">
        <f t="shared" ca="1" si="29"/>
        <v>0.63</v>
      </c>
      <c r="AB85">
        <f t="shared" si="30"/>
        <v>1469</v>
      </c>
      <c r="AC85">
        <f t="shared" si="31"/>
        <v>332</v>
      </c>
      <c r="AD85">
        <f t="shared" si="32"/>
        <v>2540</v>
      </c>
      <c r="AE85">
        <f t="shared" ca="1" si="33"/>
        <v>158</v>
      </c>
      <c r="AF85">
        <f t="shared" si="34"/>
        <v>4341</v>
      </c>
      <c r="AG85">
        <f t="shared" ca="1" si="35"/>
        <v>4499</v>
      </c>
    </row>
    <row r="86" spans="1:33">
      <c r="A86" s="6">
        <v>83</v>
      </c>
      <c r="B86" s="6" t="s">
        <v>312</v>
      </c>
      <c r="C86" s="19" t="s">
        <v>221</v>
      </c>
      <c r="D86" s="19" t="s">
        <v>19</v>
      </c>
      <c r="E86" s="19" t="s">
        <v>20</v>
      </c>
      <c r="F86" s="79">
        <v>23</v>
      </c>
      <c r="G86" s="19" t="s">
        <v>154</v>
      </c>
      <c r="H86" s="19">
        <v>250</v>
      </c>
      <c r="I86" s="19">
        <v>3067</v>
      </c>
      <c r="J86" s="19">
        <v>222</v>
      </c>
      <c r="K86" s="19">
        <v>3.55</v>
      </c>
      <c r="L86" s="19">
        <v>169</v>
      </c>
      <c r="M86" s="19">
        <v>0</v>
      </c>
      <c r="N86" s="19">
        <v>0</v>
      </c>
      <c r="O86" s="19">
        <v>25</v>
      </c>
      <c r="P86" s="19">
        <v>0.76129999999999998</v>
      </c>
      <c r="Q86" s="19">
        <v>0.87109999999999999</v>
      </c>
      <c r="R86" s="19">
        <v>6.76</v>
      </c>
      <c r="S86" s="19">
        <v>15.21</v>
      </c>
      <c r="T86" s="19">
        <v>15.78</v>
      </c>
      <c r="U86" t="s">
        <v>289</v>
      </c>
      <c r="V86">
        <f t="shared" si="24"/>
        <v>250</v>
      </c>
      <c r="W86" s="17">
        <f t="shared" si="25"/>
        <v>104.26168819498608</v>
      </c>
      <c r="X86" s="17">
        <f t="shared" si="26"/>
        <v>41</v>
      </c>
      <c r="Y86">
        <f t="shared" si="27"/>
        <v>82</v>
      </c>
      <c r="Z86">
        <f t="shared" si="28"/>
        <v>82</v>
      </c>
      <c r="AA86">
        <f t="shared" ca="1" si="29"/>
        <v>0.71</v>
      </c>
      <c r="AB86">
        <f t="shared" si="30"/>
        <v>1392</v>
      </c>
      <c r="AC86">
        <f t="shared" si="31"/>
        <v>422</v>
      </c>
      <c r="AD86">
        <f t="shared" si="32"/>
        <v>2540</v>
      </c>
      <c r="AE86">
        <f t="shared" ca="1" si="33"/>
        <v>255</v>
      </c>
      <c r="AF86">
        <f t="shared" si="34"/>
        <v>4354</v>
      </c>
      <c r="AG86">
        <f t="shared" ca="1" si="35"/>
        <v>4609</v>
      </c>
    </row>
    <row r="87" spans="1:33">
      <c r="A87" s="6">
        <v>82</v>
      </c>
      <c r="B87" s="6" t="s">
        <v>321</v>
      </c>
      <c r="C87" s="19" t="s">
        <v>286</v>
      </c>
      <c r="D87" s="19" t="s">
        <v>19</v>
      </c>
      <c r="E87" s="19" t="s">
        <v>20</v>
      </c>
      <c r="F87" s="79">
        <v>23</v>
      </c>
      <c r="G87" s="19" t="s">
        <v>193</v>
      </c>
      <c r="H87" s="33">
        <v>240</v>
      </c>
      <c r="I87" s="17">
        <v>3841</v>
      </c>
      <c r="J87" s="17">
        <v>162</v>
      </c>
      <c r="K87" s="17">
        <v>4.05</v>
      </c>
      <c r="L87" s="33">
        <v>240</v>
      </c>
      <c r="M87" s="33">
        <v>0</v>
      </c>
      <c r="N87" s="17">
        <v>0</v>
      </c>
      <c r="O87" s="17">
        <v>0</v>
      </c>
      <c r="P87" s="17">
        <v>0.98770000000000002</v>
      </c>
      <c r="Q87" s="17">
        <v>1</v>
      </c>
      <c r="R87" s="17">
        <v>0</v>
      </c>
      <c r="S87" s="17">
        <v>16</v>
      </c>
      <c r="T87" s="17">
        <v>16</v>
      </c>
      <c r="U87" t="s">
        <v>226</v>
      </c>
      <c r="V87">
        <f t="shared" si="24"/>
        <v>240</v>
      </c>
      <c r="W87" s="17">
        <f t="shared" si="25"/>
        <v>240</v>
      </c>
      <c r="X87" s="17">
        <f t="shared" si="26"/>
        <v>65</v>
      </c>
      <c r="Y87">
        <f t="shared" si="27"/>
        <v>72</v>
      </c>
      <c r="Z87">
        <f t="shared" si="28"/>
        <v>82</v>
      </c>
      <c r="AA87">
        <f t="shared" ca="1" si="29"/>
        <v>0.56999999999999995</v>
      </c>
      <c r="AB87">
        <f t="shared" si="30"/>
        <v>1145</v>
      </c>
      <c r="AC87">
        <f t="shared" si="31"/>
        <v>700</v>
      </c>
      <c r="AD87">
        <f t="shared" si="32"/>
        <v>2540</v>
      </c>
      <c r="AE87">
        <f t="shared" ca="1" si="33"/>
        <v>106</v>
      </c>
      <c r="AF87">
        <f t="shared" si="34"/>
        <v>4385</v>
      </c>
      <c r="AG87">
        <f t="shared" ca="1" si="35"/>
        <v>4491</v>
      </c>
    </row>
    <row r="88" spans="1:33">
      <c r="A88" s="6">
        <v>90</v>
      </c>
      <c r="B88" s="6" t="s">
        <v>312</v>
      </c>
      <c r="C88" s="19" t="s">
        <v>221</v>
      </c>
      <c r="D88" s="19" t="s">
        <v>19</v>
      </c>
      <c r="E88" s="19" t="s">
        <v>20</v>
      </c>
      <c r="F88" s="79">
        <v>24</v>
      </c>
      <c r="G88" s="19" t="s">
        <v>167</v>
      </c>
      <c r="H88" s="19">
        <v>262</v>
      </c>
      <c r="I88" s="19">
        <v>4547</v>
      </c>
      <c r="J88" s="19">
        <v>351</v>
      </c>
      <c r="K88" s="19">
        <v>5.36</v>
      </c>
      <c r="L88" s="19">
        <v>248</v>
      </c>
      <c r="M88" s="19">
        <v>0</v>
      </c>
      <c r="N88" s="19">
        <v>0</v>
      </c>
      <c r="O88" s="19">
        <v>72</v>
      </c>
      <c r="P88" s="19">
        <v>0.70660000000000001</v>
      </c>
      <c r="Q88" s="19">
        <v>0.73370000000000002</v>
      </c>
      <c r="R88" s="19">
        <v>3.44</v>
      </c>
      <c r="S88" s="19">
        <v>14.69</v>
      </c>
      <c r="T88" s="19">
        <v>14.68</v>
      </c>
      <c r="U88" t="s">
        <v>248</v>
      </c>
      <c r="V88">
        <f t="shared" si="24"/>
        <v>260</v>
      </c>
      <c r="W88" s="17">
        <f t="shared" si="25"/>
        <v>83.900876446979993</v>
      </c>
      <c r="X88" s="17">
        <f t="shared" si="26"/>
        <v>34</v>
      </c>
      <c r="Y88">
        <f t="shared" si="27"/>
        <v>89</v>
      </c>
      <c r="Z88">
        <f t="shared" si="28"/>
        <v>88.5</v>
      </c>
      <c r="AA88">
        <f t="shared" ca="1" si="29"/>
        <v>0.89</v>
      </c>
      <c r="AB88">
        <f t="shared" si="30"/>
        <v>1574</v>
      </c>
      <c r="AC88">
        <f t="shared" si="31"/>
        <v>343</v>
      </c>
      <c r="AD88">
        <f t="shared" si="32"/>
        <v>3200</v>
      </c>
      <c r="AE88">
        <f t="shared" ca="1" si="33"/>
        <v>628</v>
      </c>
      <c r="AF88">
        <f t="shared" si="34"/>
        <v>5117</v>
      </c>
      <c r="AG88">
        <f t="shared" ca="1" si="35"/>
        <v>5745</v>
      </c>
    </row>
    <row r="89" spans="1:33">
      <c r="A89" s="6">
        <v>88</v>
      </c>
      <c r="B89" s="6" t="s">
        <v>333</v>
      </c>
      <c r="C89" s="19" t="s">
        <v>110</v>
      </c>
      <c r="D89" s="19" t="s">
        <v>19</v>
      </c>
      <c r="E89" s="19" t="s">
        <v>20</v>
      </c>
      <c r="F89" s="79">
        <v>24</v>
      </c>
      <c r="G89" s="19" t="s">
        <v>113</v>
      </c>
      <c r="H89" s="19">
        <v>240</v>
      </c>
      <c r="I89" s="19">
        <v>15226</v>
      </c>
      <c r="J89" s="19">
        <v>1197</v>
      </c>
      <c r="K89" s="19">
        <v>19.95</v>
      </c>
      <c r="L89" s="19">
        <v>867</v>
      </c>
      <c r="M89" s="19">
        <v>0</v>
      </c>
      <c r="N89" s="19">
        <v>0</v>
      </c>
      <c r="O89" s="19">
        <v>256</v>
      </c>
      <c r="P89" s="19">
        <v>0.72430000000000005</v>
      </c>
      <c r="Q89" s="19">
        <v>0.76790000000000003</v>
      </c>
      <c r="R89" s="19">
        <v>3.39</v>
      </c>
      <c r="S89" s="19">
        <v>13.07</v>
      </c>
      <c r="T89" s="19">
        <v>13.32</v>
      </c>
      <c r="U89" t="s">
        <v>217</v>
      </c>
      <c r="V89">
        <f t="shared" si="24"/>
        <v>240</v>
      </c>
      <c r="W89" s="17">
        <f t="shared" si="25"/>
        <v>344.02138031509583</v>
      </c>
      <c r="X89" s="17">
        <f t="shared" si="26"/>
        <v>77</v>
      </c>
      <c r="Y89">
        <f t="shared" si="27"/>
        <v>72</v>
      </c>
      <c r="Z89">
        <f t="shared" si="28"/>
        <v>88.5</v>
      </c>
      <c r="AA89">
        <f t="shared" ca="1" si="29"/>
        <v>0.67</v>
      </c>
      <c r="AB89">
        <f t="shared" si="30"/>
        <v>1145</v>
      </c>
      <c r="AC89">
        <f t="shared" si="31"/>
        <v>843</v>
      </c>
      <c r="AD89">
        <f t="shared" si="32"/>
        <v>3200</v>
      </c>
      <c r="AE89">
        <f t="shared" ca="1" si="33"/>
        <v>202</v>
      </c>
      <c r="AF89">
        <f t="shared" si="34"/>
        <v>5188</v>
      </c>
      <c r="AG89">
        <f t="shared" ca="1" si="35"/>
        <v>5390</v>
      </c>
    </row>
    <row r="90" spans="1:33">
      <c r="A90" s="6">
        <v>89</v>
      </c>
      <c r="B90" s="6" t="s">
        <v>304</v>
      </c>
      <c r="C90" s="19" t="s">
        <v>222</v>
      </c>
      <c r="D90" s="19" t="s">
        <v>19</v>
      </c>
      <c r="E90" s="19" t="s">
        <v>20</v>
      </c>
      <c r="F90" s="79">
        <v>24</v>
      </c>
      <c r="G90" s="19" t="s">
        <v>192</v>
      </c>
      <c r="H90" s="19">
        <v>256</v>
      </c>
      <c r="I90" s="19">
        <v>2641</v>
      </c>
      <c r="J90" s="19">
        <v>181</v>
      </c>
      <c r="K90" s="19">
        <v>2.83</v>
      </c>
      <c r="L90" s="19">
        <v>161</v>
      </c>
      <c r="M90" s="19">
        <v>0</v>
      </c>
      <c r="N90" s="19">
        <v>0</v>
      </c>
      <c r="O90" s="19">
        <v>0</v>
      </c>
      <c r="P90" s="19">
        <v>0.88950000000000007</v>
      </c>
      <c r="Q90" s="19">
        <v>1</v>
      </c>
      <c r="R90" s="19">
        <v>0</v>
      </c>
      <c r="S90" s="19">
        <v>15.92</v>
      </c>
      <c r="T90" s="19">
        <v>17.07</v>
      </c>
      <c r="U90" t="s">
        <v>235</v>
      </c>
      <c r="V90">
        <f t="shared" si="24"/>
        <v>250</v>
      </c>
      <c r="W90" s="17">
        <f t="shared" si="25"/>
        <v>161</v>
      </c>
      <c r="X90" s="17">
        <f t="shared" si="26"/>
        <v>48</v>
      </c>
      <c r="Y90">
        <f t="shared" si="27"/>
        <v>86</v>
      </c>
      <c r="Z90">
        <f t="shared" si="28"/>
        <v>88.5</v>
      </c>
      <c r="AA90">
        <f t="shared" ca="1" si="29"/>
        <v>0.57999999999999996</v>
      </c>
      <c r="AB90">
        <f t="shared" si="30"/>
        <v>1495</v>
      </c>
      <c r="AC90">
        <f t="shared" si="31"/>
        <v>501</v>
      </c>
      <c r="AD90">
        <f t="shared" si="32"/>
        <v>3200</v>
      </c>
      <c r="AE90">
        <f t="shared" ca="1" si="33"/>
        <v>114</v>
      </c>
      <c r="AF90">
        <f t="shared" si="34"/>
        <v>5196</v>
      </c>
      <c r="AG90">
        <f t="shared" ca="1" si="35"/>
        <v>5310</v>
      </c>
    </row>
    <row r="91" spans="1:33">
      <c r="A91" s="6">
        <v>87</v>
      </c>
      <c r="B91" s="6" t="s">
        <v>308</v>
      </c>
      <c r="C91" s="19" t="s">
        <v>211</v>
      </c>
      <c r="D91" s="19" t="s">
        <v>19</v>
      </c>
      <c r="E91" s="19" t="s">
        <v>20</v>
      </c>
      <c r="F91" s="79">
        <v>24</v>
      </c>
      <c r="G91" s="19" t="s">
        <v>64</v>
      </c>
      <c r="H91" s="19">
        <v>240</v>
      </c>
      <c r="I91" s="19">
        <v>10040</v>
      </c>
      <c r="J91" s="19">
        <v>715</v>
      </c>
      <c r="K91" s="19">
        <v>11.92</v>
      </c>
      <c r="L91" s="19">
        <v>608</v>
      </c>
      <c r="M91" s="19">
        <v>0</v>
      </c>
      <c r="N91" s="19">
        <v>0</v>
      </c>
      <c r="O91" s="19">
        <v>77</v>
      </c>
      <c r="P91" s="19">
        <v>0.85030000000000006</v>
      </c>
      <c r="Q91" s="19">
        <v>0.87360000000000004</v>
      </c>
      <c r="R91" s="19">
        <v>7.9</v>
      </c>
      <c r="S91" s="19">
        <v>14.28</v>
      </c>
      <c r="T91" s="19">
        <v>14.31</v>
      </c>
      <c r="U91" t="s">
        <v>65</v>
      </c>
      <c r="V91">
        <f t="shared" si="24"/>
        <v>240</v>
      </c>
      <c r="W91" s="17">
        <f t="shared" si="25"/>
        <v>378.8765865870775</v>
      </c>
      <c r="X91" s="17">
        <f t="shared" si="26"/>
        <v>80</v>
      </c>
      <c r="Y91">
        <f t="shared" si="27"/>
        <v>72</v>
      </c>
      <c r="Z91">
        <f t="shared" si="28"/>
        <v>88.5</v>
      </c>
      <c r="AA91">
        <f t="shared" ca="1" si="29"/>
        <v>0.65</v>
      </c>
      <c r="AB91">
        <f t="shared" si="30"/>
        <v>1145</v>
      </c>
      <c r="AC91">
        <f t="shared" si="31"/>
        <v>879</v>
      </c>
      <c r="AD91">
        <f t="shared" si="32"/>
        <v>3200</v>
      </c>
      <c r="AE91">
        <f t="shared" ca="1" si="33"/>
        <v>179</v>
      </c>
      <c r="AF91">
        <f t="shared" si="34"/>
        <v>5224</v>
      </c>
      <c r="AG91">
        <f t="shared" ca="1" si="35"/>
        <v>5403</v>
      </c>
    </row>
  </sheetData>
  <autoFilter ref="A1:AG91" xr:uid="{00000000-0009-0000-0000-000002000000}">
    <sortState ref="A2:AG91">
      <sortCondition ref="AF2:AF91"/>
    </sortState>
  </autoFilter>
  <conditionalFormatting sqref="F1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1:AD104857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1:AC104857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:AB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N34"/>
  <sheetViews>
    <sheetView workbookViewId="0">
      <selection activeCell="J24" sqref="J24"/>
    </sheetView>
  </sheetViews>
  <sheetFormatPr defaultRowHeight="12.75"/>
  <cols>
    <col min="2" max="2" width="15.28515625" bestFit="1" customWidth="1"/>
    <col min="5" max="5" width="29.7109375" customWidth="1"/>
    <col min="8" max="8" width="12.85546875" customWidth="1"/>
  </cols>
  <sheetData>
    <row r="1" spans="2:14" ht="13.5" thickBot="1"/>
    <row r="2" spans="2:14" ht="14.25" thickTop="1" thickBot="1">
      <c r="B2" s="62" t="s">
        <v>322</v>
      </c>
      <c r="C2" s="63">
        <f>SUM(Songs!$I:$I)</f>
        <v>479657</v>
      </c>
      <c r="D2" s="64"/>
      <c r="E2" s="65" t="s">
        <v>323</v>
      </c>
      <c r="F2" s="66" t="s">
        <v>324</v>
      </c>
      <c r="G2" s="67"/>
      <c r="H2" s="68" t="s">
        <v>325</v>
      </c>
      <c r="I2" s="69" t="s">
        <v>324</v>
      </c>
    </row>
    <row r="3" spans="2:14" ht="14.25" thickTop="1" thickBot="1">
      <c r="B3" s="62" t="s">
        <v>326</v>
      </c>
      <c r="C3" s="63">
        <f>SUM(Songs!$K:$K)</f>
        <v>650.17000000000007</v>
      </c>
      <c r="D3" s="64"/>
      <c r="E3" s="70" t="s">
        <v>283</v>
      </c>
      <c r="F3" s="71">
        <f>COUNTIF(Songs!$C:$C,E3)</f>
        <v>7</v>
      </c>
      <c r="G3" s="67"/>
      <c r="H3" s="70" t="s">
        <v>309</v>
      </c>
      <c r="I3" s="71">
        <f>COUNTIF(Songs!$B:$B,"*"&amp;H3&amp;"*")</f>
        <v>11</v>
      </c>
    </row>
    <row r="4" spans="2:14" ht="14.25" thickTop="1" thickBot="1">
      <c r="B4" s="62" t="s">
        <v>327</v>
      </c>
      <c r="C4" s="75">
        <f>AVERAGE(Songs!$H:$H)</f>
        <v>220.25555555555556</v>
      </c>
      <c r="D4" s="64"/>
      <c r="E4" s="72" t="s">
        <v>286</v>
      </c>
      <c r="F4" s="73">
        <f>COUNTIF(Songs!$C:$C,E4)</f>
        <v>1</v>
      </c>
      <c r="G4" s="67"/>
      <c r="H4" s="72" t="s">
        <v>312</v>
      </c>
      <c r="I4" s="73">
        <f>COUNTIF(Songs!$B:$B,"*"&amp;H4&amp;"*")</f>
        <v>18</v>
      </c>
      <c r="N4" s="19"/>
    </row>
    <row r="5" spans="2:14" ht="14.25" thickTop="1" thickBot="1">
      <c r="B5" s="62" t="s">
        <v>328</v>
      </c>
      <c r="C5" s="74">
        <f>AVERAGE(Songs!$F:$F)</f>
        <v>20.011111111111113</v>
      </c>
      <c r="D5" s="64"/>
      <c r="E5" s="72" t="s">
        <v>21</v>
      </c>
      <c r="F5" s="73">
        <f>COUNTIF(Songs!$C:$C,E5)</f>
        <v>1</v>
      </c>
      <c r="G5" s="67"/>
      <c r="H5" s="72" t="s">
        <v>330</v>
      </c>
      <c r="I5" s="73">
        <f>COUNTIF(Songs!$B:$B,"*"&amp;H5&amp;"*")</f>
        <v>5</v>
      </c>
      <c r="N5" s="19"/>
    </row>
    <row r="6" spans="2:14" ht="14.25" thickTop="1" thickBot="1">
      <c r="B6" s="62" t="s">
        <v>329</v>
      </c>
      <c r="C6" s="75">
        <f>C2/(C3*60)</f>
        <v>12.295681642237158</v>
      </c>
      <c r="D6" s="64"/>
      <c r="E6" s="72" t="s">
        <v>87</v>
      </c>
      <c r="F6" s="73">
        <f>COUNTIF(Songs!$C:$C,E6)</f>
        <v>3</v>
      </c>
      <c r="G6" s="67"/>
      <c r="H6" s="72" t="s">
        <v>307</v>
      </c>
      <c r="I6" s="73">
        <f>COUNTIF(Songs!$B:$B,"*"&amp;H6&amp;"*")</f>
        <v>6</v>
      </c>
    </row>
    <row r="7" spans="2:14" ht="13.5" thickTop="1">
      <c r="B7" s="64"/>
      <c r="C7" s="64"/>
      <c r="D7" s="64"/>
      <c r="E7" s="72" t="s">
        <v>265</v>
      </c>
      <c r="F7" s="73">
        <f>COUNTIF(Songs!$C:$C,E7)</f>
        <v>1</v>
      </c>
      <c r="G7" s="67"/>
      <c r="H7" s="72" t="s">
        <v>321</v>
      </c>
      <c r="I7" s="73">
        <f>COUNTIF(Songs!$B:$B,"*"&amp;H7&amp;"*")</f>
        <v>1</v>
      </c>
    </row>
    <row r="8" spans="2:14">
      <c r="B8" s="64"/>
      <c r="C8" s="67"/>
      <c r="D8" s="64"/>
      <c r="E8" s="72" t="s">
        <v>161</v>
      </c>
      <c r="F8" s="73">
        <f>COUNTIF(Songs!$C:$C,E8)</f>
        <v>1</v>
      </c>
      <c r="G8" s="67"/>
      <c r="H8" s="72" t="s">
        <v>305</v>
      </c>
      <c r="I8" s="73">
        <f>COUNTIF(Songs!$B:$B,"*"&amp;H8&amp;"*")</f>
        <v>19</v>
      </c>
      <c r="N8" s="17"/>
    </row>
    <row r="9" spans="2:14">
      <c r="B9" s="64"/>
      <c r="C9" s="67"/>
      <c r="D9" s="64"/>
      <c r="E9" s="72" t="s">
        <v>110</v>
      </c>
      <c r="F9" s="73">
        <f>COUNTIF(Songs!$C:$C,E9)</f>
        <v>4</v>
      </c>
      <c r="G9" s="67"/>
      <c r="H9" s="72" t="s">
        <v>332</v>
      </c>
      <c r="I9" s="73">
        <f>COUNTIF(Songs!$B:$B,"*"&amp;H9&amp;"*")</f>
        <v>1</v>
      </c>
    </row>
    <row r="10" spans="2:14">
      <c r="B10" s="64"/>
      <c r="C10" s="67"/>
      <c r="D10" s="64"/>
      <c r="E10" s="72" t="s">
        <v>69</v>
      </c>
      <c r="F10" s="73">
        <f>COUNTIF(Songs!$C:$C,E10)</f>
        <v>16</v>
      </c>
      <c r="G10" s="67"/>
      <c r="H10" s="72" t="s">
        <v>308</v>
      </c>
      <c r="I10" s="73">
        <f>COUNTIF(Songs!$B:$B,"*"&amp;H10&amp;"*")</f>
        <v>12</v>
      </c>
      <c r="N10" s="17"/>
    </row>
    <row r="11" spans="2:14">
      <c r="B11" s="64"/>
      <c r="C11" s="67"/>
      <c r="D11" s="64"/>
      <c r="E11" s="72" t="s">
        <v>284</v>
      </c>
      <c r="F11" s="73">
        <f>COUNTIF(Songs!$C:$C,E11)</f>
        <v>2</v>
      </c>
      <c r="G11" s="67"/>
      <c r="H11" s="72" t="s">
        <v>311</v>
      </c>
      <c r="I11" s="73">
        <f>COUNTIF(Songs!$B:$B,"*"&amp;H11&amp;"*")</f>
        <v>3</v>
      </c>
      <c r="N11" s="17"/>
    </row>
    <row r="12" spans="2:14">
      <c r="B12" s="64"/>
      <c r="C12" s="67"/>
      <c r="D12" s="64"/>
      <c r="E12" s="72" t="s">
        <v>27</v>
      </c>
      <c r="F12" s="73">
        <f>COUNTIF(Songs!$C:$C,E12)</f>
        <v>2</v>
      </c>
      <c r="G12" s="67"/>
      <c r="H12" s="72" t="s">
        <v>310</v>
      </c>
      <c r="I12" s="73">
        <f>COUNTIF(Songs!$B:$B,"*"&amp;H12&amp;"*")</f>
        <v>11</v>
      </c>
      <c r="N12" s="17"/>
    </row>
    <row r="13" spans="2:14">
      <c r="B13" s="64"/>
      <c r="C13" s="67"/>
      <c r="D13" s="64"/>
      <c r="E13" s="72" t="s">
        <v>221</v>
      </c>
      <c r="F13" s="73">
        <f>COUNTIF(Songs!$C:$C,E13)</f>
        <v>8</v>
      </c>
      <c r="G13" s="67"/>
      <c r="H13" s="72" t="s">
        <v>306</v>
      </c>
      <c r="I13" s="73">
        <f>COUNTIF(Songs!$B:$B,"*"&amp;H13&amp;"*")</f>
        <v>2</v>
      </c>
      <c r="N13" s="17"/>
    </row>
    <row r="14" spans="2:14">
      <c r="B14" s="64"/>
      <c r="C14" s="67"/>
      <c r="D14" s="64"/>
      <c r="E14" s="72" t="s">
        <v>216</v>
      </c>
      <c r="F14" s="73">
        <f>COUNTIF(Songs!$C:$C,E14)</f>
        <v>3</v>
      </c>
      <c r="G14" s="67"/>
      <c r="H14" s="72" t="s">
        <v>331</v>
      </c>
      <c r="I14" s="73">
        <f>COUNTIF(Songs!$B:$B,"*"&amp;H14&amp;"*")</f>
        <v>1</v>
      </c>
    </row>
    <row r="15" spans="2:14">
      <c r="B15" s="64"/>
      <c r="C15" s="67"/>
      <c r="D15" s="64"/>
      <c r="E15" s="72" t="s">
        <v>32</v>
      </c>
      <c r="F15" s="73">
        <f>COUNTIF(Songs!$C:$C,E15)</f>
        <v>1</v>
      </c>
      <c r="G15" s="67"/>
      <c r="H15" s="72" t="s">
        <v>304</v>
      </c>
      <c r="I15" s="73">
        <f>COUNTIF(Songs!$B:$B,"*"&amp;H15&amp;"*")</f>
        <v>18</v>
      </c>
      <c r="N15" s="17"/>
    </row>
    <row r="16" spans="2:14" ht="13.5" thickBot="1">
      <c r="B16" s="64"/>
      <c r="C16" s="67"/>
      <c r="D16" s="64"/>
      <c r="E16" s="72" t="s">
        <v>211</v>
      </c>
      <c r="F16" s="73">
        <f>COUNTIF(Songs!$C:$C,E16)</f>
        <v>8</v>
      </c>
      <c r="G16" s="67"/>
      <c r="H16" s="76" t="s">
        <v>313</v>
      </c>
      <c r="I16" s="77">
        <f>COUNTIF(Songs!$B:$B,"*"&amp;H16&amp;"*")</f>
        <v>1</v>
      </c>
    </row>
    <row r="17" spans="2:9">
      <c r="B17" s="64"/>
      <c r="C17" s="67"/>
      <c r="D17" s="64"/>
      <c r="E17" s="72" t="s">
        <v>73</v>
      </c>
      <c r="F17" s="73">
        <f>COUNTIF(Songs!$C:$C,E17)</f>
        <v>2</v>
      </c>
      <c r="G17" s="67"/>
      <c r="H17" s="64"/>
      <c r="I17" s="64"/>
    </row>
    <row r="18" spans="2:9">
      <c r="B18" s="64"/>
      <c r="C18" s="67"/>
      <c r="D18" s="64"/>
      <c r="E18" s="72" t="s">
        <v>36</v>
      </c>
      <c r="F18" s="73">
        <f>COUNTIF(Songs!$C:$C,E18)</f>
        <v>12</v>
      </c>
      <c r="G18" s="67"/>
      <c r="H18" s="64"/>
      <c r="I18" s="64"/>
    </row>
    <row r="19" spans="2:9">
      <c r="B19" s="64"/>
      <c r="C19" s="67"/>
      <c r="D19" s="64"/>
      <c r="E19" s="72" t="s">
        <v>107</v>
      </c>
      <c r="F19" s="73">
        <f>COUNTIF(Songs!$C:$C,E19)</f>
        <v>2</v>
      </c>
      <c r="G19" s="67"/>
      <c r="H19" s="64"/>
      <c r="I19" s="64"/>
    </row>
    <row r="20" spans="2:9">
      <c r="B20" s="64"/>
      <c r="C20" s="67"/>
      <c r="D20" s="64"/>
      <c r="E20" s="72" t="s">
        <v>228</v>
      </c>
      <c r="F20" s="73">
        <f>COUNTIF(Songs!$C:$C,E20)</f>
        <v>7</v>
      </c>
      <c r="G20" s="67"/>
      <c r="H20" s="64"/>
      <c r="I20" s="64"/>
    </row>
    <row r="21" spans="2:9">
      <c r="B21" s="64"/>
      <c r="C21" s="67"/>
      <c r="D21" s="64"/>
      <c r="E21" s="72" t="s">
        <v>294</v>
      </c>
      <c r="F21" s="73">
        <f>COUNTIF(Songs!$C:$C,E21)</f>
        <v>1</v>
      </c>
      <c r="G21" s="67"/>
      <c r="H21" s="64"/>
      <c r="I21" s="64"/>
    </row>
    <row r="22" spans="2:9">
      <c r="B22" s="64"/>
      <c r="C22" s="67"/>
      <c r="D22" s="64"/>
      <c r="E22" s="72" t="s">
        <v>58</v>
      </c>
      <c r="F22" s="73">
        <f>COUNTIF(Songs!$C:$C,E22)</f>
        <v>1</v>
      </c>
      <c r="G22" s="67"/>
      <c r="H22" s="64"/>
      <c r="I22" s="64"/>
    </row>
    <row r="23" spans="2:9">
      <c r="B23" s="64"/>
      <c r="C23" s="67"/>
      <c r="D23" s="64"/>
      <c r="E23" s="72" t="s">
        <v>66</v>
      </c>
      <c r="F23" s="73">
        <f>COUNTIF(Songs!$C:$C,E23)</f>
        <v>3</v>
      </c>
      <c r="G23" s="67"/>
    </row>
    <row r="24" spans="2:9">
      <c r="B24" s="64"/>
      <c r="C24" s="67"/>
      <c r="D24" s="64"/>
      <c r="E24" s="72" t="s">
        <v>222</v>
      </c>
      <c r="F24" s="73">
        <f>COUNTIF(Songs!$C:$C,E24)</f>
        <v>2</v>
      </c>
      <c r="G24" s="67"/>
    </row>
    <row r="25" spans="2:9" ht="13.5" thickBot="1">
      <c r="B25" s="64"/>
      <c r="C25" s="67"/>
      <c r="D25" s="64"/>
      <c r="E25" s="76" t="s">
        <v>262</v>
      </c>
      <c r="F25" s="77">
        <f>COUNTIF(Songs!$C:$C,E25)</f>
        <v>2</v>
      </c>
      <c r="G25" s="67"/>
    </row>
    <row r="26" spans="2:9">
      <c r="B26" s="64"/>
      <c r="C26" s="67"/>
      <c r="D26" s="64"/>
      <c r="G26" s="67"/>
    </row>
    <row r="27" spans="2:9">
      <c r="B27" s="64"/>
      <c r="C27" s="67"/>
      <c r="D27" s="64"/>
      <c r="G27" s="67"/>
    </row>
    <row r="28" spans="2:9">
      <c r="B28" s="64"/>
      <c r="C28" s="67"/>
      <c r="D28" s="64"/>
      <c r="G28" s="67"/>
    </row>
    <row r="29" spans="2:9">
      <c r="B29" s="64"/>
      <c r="C29" s="67"/>
      <c r="D29" s="64"/>
      <c r="G29" s="67"/>
    </row>
    <row r="30" spans="2:9">
      <c r="B30" s="64"/>
      <c r="C30" s="67"/>
      <c r="D30" s="64"/>
      <c r="G30" s="67"/>
    </row>
    <row r="31" spans="2:9">
      <c r="B31" s="64"/>
      <c r="C31" s="67"/>
      <c r="D31" s="64"/>
      <c r="G31" s="67"/>
    </row>
    <row r="32" spans="2:9">
      <c r="B32" s="64"/>
      <c r="C32" s="67"/>
      <c r="D32" s="64"/>
      <c r="G32" s="67"/>
    </row>
    <row r="33" spans="2:7">
      <c r="B33" s="64"/>
      <c r="C33" s="67"/>
      <c r="D33" s="64"/>
      <c r="G33" s="67"/>
    </row>
    <row r="34" spans="2:7">
      <c r="B34" s="64"/>
      <c r="C34" s="67"/>
      <c r="D34" s="64"/>
      <c r="G34" s="67"/>
    </row>
  </sheetData>
  <sortState ref="N4:N16">
    <sortCondition ref="N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Relics</vt:lpstr>
      <vt:lpstr>Template Scoresheet</vt:lpstr>
      <vt:lpstr>Songs</vt:lpstr>
      <vt:lpstr>Chart Credit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Pyles, Ian T</dc:creator>
  <cp:lastModifiedBy>Pyles, Ian T</cp:lastModifiedBy>
  <dcterms:created xsi:type="dcterms:W3CDTF">2018-05-17T11:32:16Z</dcterms:created>
  <dcterms:modified xsi:type="dcterms:W3CDTF">2018-09-14T20:00:26Z</dcterms:modified>
</cp:coreProperties>
</file>